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diego.fresneda\Downloads\260610\"/>
    </mc:Choice>
  </mc:AlternateContent>
  <xr:revisionPtr revIDLastSave="0" documentId="13_ncr:1_{42B67C6E-2E88-4421-8BCE-D4162BE10D18}" xr6:coauthVersionLast="36" xr6:coauthVersionMax="47" xr10:uidLastSave="{00000000-0000-0000-0000-000000000000}"/>
  <bookViews>
    <workbookView xWindow="0" yWindow="0" windowWidth="28800" windowHeight="11505" tabRatio="934" xr2:uid="{00000000-000D-0000-FFFF-FFFF00000000}"/>
  </bookViews>
  <sheets>
    <sheet name="PROPUESTA ECONÓMICA" sheetId="51" r:id="rId1"/>
    <sheet name="EM - LECHONA " sheetId="42" state="hidden" r:id="rId2"/>
  </sheets>
  <externalReferences>
    <externalReference r:id="rId3"/>
  </externalReferences>
  <definedNames>
    <definedName name="_xlnm._FilterDatabase" localSheetId="1" hidden="1">'EM - LECHONA '!$A$10:$EL$18</definedName>
    <definedName name="_xlnm._FilterDatabase" localSheetId="0" hidden="1">'PROPUESTA ECONÓMICA'!$A$6:$J$13</definedName>
    <definedName name="_xlnm.Print_Area" localSheetId="1">'EM - LECHONA '!$A$1:$EM$31</definedName>
    <definedName name="_xlnm.Print_Area" localSheetId="0">'PROPUESTA ECONÓMICA'!$A$1:$J$25</definedName>
    <definedName name="DISERRA">'[1]7. DISERRA S.A.S'!$A$5:$G$566</definedName>
    <definedName name="TABLA" localSheetId="1">#REF!</definedName>
    <definedName name="TABLA" localSheetId="0">#REF!</definedName>
    <definedName name="TABLA">#REF!</definedName>
  </definedNames>
  <calcPr calcId="191029"/>
</workbook>
</file>

<file path=xl/calcChain.xml><?xml version="1.0" encoding="utf-8"?>
<calcChain xmlns="http://schemas.openxmlformats.org/spreadsheetml/2006/main">
  <c r="E8" i="51" l="1"/>
  <c r="F8" i="51" s="1"/>
  <c r="G8" i="51" s="1"/>
  <c r="I8" i="51" s="1"/>
  <c r="E9" i="51"/>
  <c r="F9" i="51" s="1"/>
  <c r="G9" i="51" s="1"/>
  <c r="I9" i="51" s="1"/>
  <c r="E10" i="51"/>
  <c r="F10" i="51" s="1"/>
  <c r="G10" i="51" s="1"/>
  <c r="I10" i="51" s="1"/>
  <c r="E11" i="51"/>
  <c r="F11" i="51" s="1"/>
  <c r="G11" i="51" s="1"/>
  <c r="I11" i="51" s="1"/>
  <c r="E12" i="51"/>
  <c r="F12" i="51" s="1"/>
  <c r="G12" i="51" s="1"/>
  <c r="I12" i="51" s="1"/>
  <c r="E7" i="51"/>
  <c r="F7" i="51" s="1"/>
  <c r="G7" i="51" s="1"/>
  <c r="I7" i="51" s="1"/>
  <c r="AP10" i="42" l="1"/>
  <c r="BG10" i="42" s="1"/>
  <c r="AD16" i="42"/>
  <c r="AD15" i="42"/>
  <c r="AD14" i="42"/>
  <c r="AD13" i="42"/>
  <c r="AD12" i="42"/>
  <c r="AD11" i="42"/>
  <c r="Y16" i="42"/>
  <c r="Z16" i="42" s="1"/>
  <c r="AA16" i="42" s="1"/>
  <c r="Y15" i="42"/>
  <c r="Z15" i="42" s="1"/>
  <c r="Y14" i="42"/>
  <c r="Z14" i="42" s="1"/>
  <c r="AA14" i="42" s="1"/>
  <c r="Y13" i="42"/>
  <c r="Z13" i="42" s="1"/>
  <c r="AA13" i="42" s="1"/>
  <c r="Y12" i="42"/>
  <c r="Z12" i="42" s="1"/>
  <c r="AA12" i="42" s="1"/>
  <c r="Y11" i="42"/>
  <c r="Z11" i="42" s="1"/>
  <c r="AA11" i="42" s="1"/>
  <c r="BO10" i="42" l="1"/>
  <c r="CI10" i="42" s="1"/>
  <c r="DC10" i="42" s="1"/>
  <c r="CA10" i="42"/>
  <c r="CU10" i="42" s="1"/>
  <c r="AA15" i="42"/>
  <c r="AA17" i="42" s="1"/>
  <c r="AP15" i="42"/>
  <c r="AP11" i="42"/>
  <c r="AP16" i="42"/>
  <c r="AP12" i="42"/>
  <c r="AP14" i="42"/>
  <c r="AP13" i="42"/>
  <c r="AE13" i="42" l="1"/>
  <c r="AE14" i="42"/>
  <c r="AE15" i="42"/>
  <c r="AE16" i="42"/>
  <c r="AE11" i="42"/>
  <c r="U12" i="42"/>
  <c r="U13" i="42"/>
  <c r="U14" i="42"/>
  <c r="U15" i="42"/>
  <c r="U16" i="42"/>
  <c r="U11" i="42"/>
  <c r="M12" i="42"/>
  <c r="M13" i="42"/>
  <c r="M14" i="42"/>
  <c r="M15" i="42"/>
  <c r="M16" i="42"/>
  <c r="M11" i="42"/>
  <c r="AK10" i="42"/>
  <c r="E12" i="42"/>
  <c r="F12" i="42" s="1"/>
  <c r="G12" i="42" s="1"/>
  <c r="E13" i="42"/>
  <c r="F13" i="42" s="1"/>
  <c r="E14" i="42"/>
  <c r="F14" i="42" s="1"/>
  <c r="E15" i="42"/>
  <c r="F15" i="42" s="1"/>
  <c r="E16" i="42"/>
  <c r="F16" i="42" s="1"/>
  <c r="E11" i="42"/>
  <c r="F11" i="42" s="1"/>
  <c r="AE12" i="42"/>
  <c r="R12" i="42"/>
  <c r="R13" i="42"/>
  <c r="R14" i="42"/>
  <c r="R15" i="42"/>
  <c r="R16" i="42"/>
  <c r="R11" i="42"/>
  <c r="AQ13" i="42" l="1"/>
  <c r="AQ16" i="42"/>
  <c r="AQ12" i="42"/>
  <c r="AQ15" i="42"/>
  <c r="AQ11" i="42"/>
  <c r="AQ14" i="42"/>
  <c r="AE17" i="42"/>
  <c r="J16" i="42" l="1"/>
  <c r="AL16" i="42" s="1"/>
  <c r="J15" i="42"/>
  <c r="AL15" i="42" s="1"/>
  <c r="J14" i="42"/>
  <c r="AL14" i="42" s="1"/>
  <c r="J13" i="42"/>
  <c r="AL13" i="42" s="1"/>
  <c r="J12" i="42"/>
  <c r="AL12" i="42" s="1"/>
  <c r="J11" i="42"/>
  <c r="AL11" i="42" l="1"/>
  <c r="CC10" i="42" l="1"/>
  <c r="CW10" i="42" s="1"/>
  <c r="AM10" i="42"/>
  <c r="BD10" i="42" s="1"/>
  <c r="AL10" i="42"/>
  <c r="BC10" i="42" s="1"/>
  <c r="BB10" i="42"/>
  <c r="AQ10" i="42"/>
  <c r="BH10" i="42" s="1"/>
  <c r="CB10" i="42" s="1"/>
  <c r="AO10" i="42"/>
  <c r="BF10" i="42" s="1"/>
  <c r="AN10" i="42"/>
  <c r="BE10" i="42" s="1"/>
  <c r="V16" i="42"/>
  <c r="AN16" i="42"/>
  <c r="V15" i="42"/>
  <c r="AN15" i="42"/>
  <c r="V14" i="42"/>
  <c r="AN14" i="42"/>
  <c r="V13" i="42"/>
  <c r="AO13" i="42" s="1"/>
  <c r="AN13" i="42"/>
  <c r="V12" i="42"/>
  <c r="AO12" i="42" s="1"/>
  <c r="AN12" i="42"/>
  <c r="V11" i="42"/>
  <c r="AN11" i="42"/>
  <c r="AO11" i="42" l="1"/>
  <c r="AO15" i="42"/>
  <c r="AG15" i="42"/>
  <c r="AO16" i="42"/>
  <c r="AG16" i="42"/>
  <c r="AO14" i="42"/>
  <c r="AG14" i="42"/>
  <c r="DQ10" i="42"/>
  <c r="EB10" i="42" s="1"/>
  <c r="BM10" i="42"/>
  <c r="CG10" i="42" s="1"/>
  <c r="DA10" i="42" s="1"/>
  <c r="DM10" i="42" s="1"/>
  <c r="DX10" i="42" s="1"/>
  <c r="BY10" i="42"/>
  <c r="CS10" i="42" s="1"/>
  <c r="BZ10" i="42"/>
  <c r="CT10" i="42" s="1"/>
  <c r="BN10" i="42"/>
  <c r="CH10" i="42" s="1"/>
  <c r="DB10" i="42" s="1"/>
  <c r="DN10" i="42" s="1"/>
  <c r="DY10" i="42" s="1"/>
  <c r="DO10" i="42"/>
  <c r="DZ10" i="42" s="1"/>
  <c r="DP10" i="42"/>
  <c r="EA10" i="42" s="1"/>
  <c r="BX10" i="42"/>
  <c r="CR10" i="42" s="1"/>
  <c r="BL10" i="42"/>
  <c r="CF10" i="42" s="1"/>
  <c r="CZ10" i="42" s="1"/>
  <c r="DL10" i="42" s="1"/>
  <c r="DW10" i="42" s="1"/>
  <c r="BP10" i="42"/>
  <c r="CV10" i="42"/>
  <c r="BJ10" i="42"/>
  <c r="CD10" i="42" s="1"/>
  <c r="CX10" i="42" s="1"/>
  <c r="DJ10" i="42" s="1"/>
  <c r="DU10" i="42" s="1"/>
  <c r="BV10" i="42"/>
  <c r="CP10" i="42" s="1"/>
  <c r="BK10" i="42"/>
  <c r="CE10" i="42" s="1"/>
  <c r="CY10" i="42" s="1"/>
  <c r="DK10" i="42" s="1"/>
  <c r="DV10" i="42" s="1"/>
  <c r="BW10" i="42"/>
  <c r="CQ10" i="42" s="1"/>
  <c r="S16" i="42"/>
  <c r="W12" i="42"/>
  <c r="W11" i="42"/>
  <c r="S13" i="42"/>
  <c r="S15" i="42"/>
  <c r="W13" i="42"/>
  <c r="S11" i="42"/>
  <c r="S12" i="42"/>
  <c r="S14" i="42"/>
  <c r="W16" i="42"/>
  <c r="W14" i="42"/>
  <c r="W15" i="42"/>
  <c r="CJ10" i="42" l="1"/>
  <c r="DD10" i="42" s="1"/>
  <c r="DR10" i="42" s="1"/>
  <c r="EC10" i="42" s="1"/>
  <c r="W17" i="42"/>
  <c r="S17" i="42"/>
  <c r="N16" i="42" l="1"/>
  <c r="AH16" i="42" s="1"/>
  <c r="N14" i="42"/>
  <c r="AH14" i="42" s="1"/>
  <c r="N13" i="42"/>
  <c r="N12" i="42"/>
  <c r="N11" i="42"/>
  <c r="AG11" i="42" l="1"/>
  <c r="AH11" i="42" s="1"/>
  <c r="AG12" i="42"/>
  <c r="AH12" i="42" s="1"/>
  <c r="AG13" i="42"/>
  <c r="AH13" i="42" s="1"/>
  <c r="AM12" i="42"/>
  <c r="O12" i="42"/>
  <c r="AM11" i="42"/>
  <c r="O11" i="42"/>
  <c r="AM14" i="42"/>
  <c r="O14" i="42"/>
  <c r="AM13" i="42"/>
  <c r="O13" i="42"/>
  <c r="AM16" i="42"/>
  <c r="O16" i="42"/>
  <c r="N15" i="42"/>
  <c r="AH15" i="42" s="1"/>
  <c r="AH17" i="42" l="1"/>
  <c r="AM15" i="42"/>
  <c r="O15" i="42"/>
  <c r="O17" i="42" s="1"/>
  <c r="AG18" i="42" l="1"/>
  <c r="AB6" i="42" s="1"/>
  <c r="K11" i="42"/>
  <c r="K12" i="42"/>
  <c r="K15" i="42" l="1"/>
  <c r="K14" i="42"/>
  <c r="K13" i="42"/>
  <c r="K16" i="42"/>
  <c r="K17" i="42" l="1"/>
  <c r="G16" i="42" l="1"/>
  <c r="G15" i="42"/>
  <c r="G14" i="42" l="1"/>
  <c r="AK16" i="42"/>
  <c r="AK14" i="42"/>
  <c r="AK15" i="42"/>
  <c r="AY14" i="42" l="1"/>
  <c r="AX14" i="42"/>
  <c r="BG14" i="42" s="1"/>
  <c r="AX15" i="42"/>
  <c r="BG15" i="42" s="1"/>
  <c r="AY15" i="42"/>
  <c r="AZ15" i="42" s="1"/>
  <c r="AX16" i="42"/>
  <c r="BG16" i="42" s="1"/>
  <c r="AY16" i="42"/>
  <c r="AS16" i="42"/>
  <c r="AR16" i="42"/>
  <c r="AR15" i="42"/>
  <c r="AS15" i="42"/>
  <c r="AS14" i="42"/>
  <c r="AR14" i="42"/>
  <c r="AK12" i="42"/>
  <c r="G13" i="42"/>
  <c r="AZ14" i="42" l="1"/>
  <c r="AZ16" i="42"/>
  <c r="AX12" i="42"/>
  <c r="BG12" i="42" s="1"/>
  <c r="AY12" i="42"/>
  <c r="AT15" i="42"/>
  <c r="AV15" i="42" s="1"/>
  <c r="BH14" i="42"/>
  <c r="BB14" i="42"/>
  <c r="AT16" i="42"/>
  <c r="AU16" i="42" s="1"/>
  <c r="AT14" i="42"/>
  <c r="AU14" i="42" s="1"/>
  <c r="BB16" i="42"/>
  <c r="BH16" i="42"/>
  <c r="AR12" i="42"/>
  <c r="AS12" i="42"/>
  <c r="BB15" i="42"/>
  <c r="BH15" i="42"/>
  <c r="BD16" i="42"/>
  <c r="BC16" i="42"/>
  <c r="BE16" i="42"/>
  <c r="BF16" i="42"/>
  <c r="BF15" i="42"/>
  <c r="BC15" i="42"/>
  <c r="BD15" i="42"/>
  <c r="BE15" i="42"/>
  <c r="BF14" i="42"/>
  <c r="BD14" i="42"/>
  <c r="BC14" i="42"/>
  <c r="BE14" i="42"/>
  <c r="G11" i="42"/>
  <c r="G17" i="42" s="1"/>
  <c r="AK11" i="42"/>
  <c r="AK13" i="42"/>
  <c r="AX13" i="42" l="1"/>
  <c r="BG13" i="42" s="1"/>
  <c r="AY13" i="42"/>
  <c r="AZ12" i="42"/>
  <c r="AX11" i="42"/>
  <c r="BG11" i="42" s="1"/>
  <c r="AU15" i="42"/>
  <c r="AV14" i="42"/>
  <c r="AV16" i="42"/>
  <c r="AS13" i="42"/>
  <c r="AR13" i="42"/>
  <c r="BI15" i="42"/>
  <c r="BB12" i="42"/>
  <c r="BH12" i="42"/>
  <c r="BI16" i="42"/>
  <c r="BJ16" i="42" s="1"/>
  <c r="BI14" i="42"/>
  <c r="BN14" i="42" s="1"/>
  <c r="AT12" i="42"/>
  <c r="AU12" i="42" s="1"/>
  <c r="EI12" i="42"/>
  <c r="BD12" i="42"/>
  <c r="BE12" i="42"/>
  <c r="BF12" i="42"/>
  <c r="BC12" i="42"/>
  <c r="AY11" i="42"/>
  <c r="AR11" i="42"/>
  <c r="AS11" i="42"/>
  <c r="AZ13" i="42" l="1"/>
  <c r="AT11" i="42"/>
  <c r="BB11" i="42"/>
  <c r="BH11" i="42"/>
  <c r="BC11" i="42"/>
  <c r="BP14" i="42"/>
  <c r="BO14" i="42"/>
  <c r="BN16" i="42"/>
  <c r="BO16" i="42"/>
  <c r="BJ15" i="42"/>
  <c r="BO15" i="42"/>
  <c r="BM15" i="42"/>
  <c r="BK16" i="42"/>
  <c r="BJ14" i="42"/>
  <c r="BD11" i="42"/>
  <c r="BL14" i="42"/>
  <c r="BP16" i="42"/>
  <c r="AZ11" i="42"/>
  <c r="AY6" i="42" s="1"/>
  <c r="BP15" i="42"/>
  <c r="BK15" i="42"/>
  <c r="BL16" i="42"/>
  <c r="BK14" i="42"/>
  <c r="BM14" i="42"/>
  <c r="BN15" i="42"/>
  <c r="BM16" i="42"/>
  <c r="BL15" i="42"/>
  <c r="AV12" i="42"/>
  <c r="BI12" i="42"/>
  <c r="BJ12" i="42" s="1"/>
  <c r="AT13" i="42"/>
  <c r="AU13" i="42" s="1"/>
  <c r="BH13" i="42"/>
  <c r="BB13" i="42"/>
  <c r="BD13" i="42"/>
  <c r="BC13" i="42"/>
  <c r="BE13" i="42"/>
  <c r="BF13" i="42"/>
  <c r="BF11" i="42"/>
  <c r="BE11" i="42"/>
  <c r="AU11" i="42"/>
  <c r="BS16" i="42" l="1"/>
  <c r="EI16" i="42" s="1"/>
  <c r="BR15" i="42"/>
  <c r="CB15" i="42" s="1"/>
  <c r="BS15" i="42"/>
  <c r="BT15" i="42" s="1"/>
  <c r="BS14" i="42"/>
  <c r="EI14" i="42" s="1"/>
  <c r="BR14" i="42"/>
  <c r="BM12" i="42"/>
  <c r="BO12" i="42"/>
  <c r="BR16" i="42"/>
  <c r="BN12" i="42"/>
  <c r="BP12" i="42"/>
  <c r="BL12" i="42"/>
  <c r="BK12" i="42"/>
  <c r="BI11" i="42"/>
  <c r="AV13" i="42"/>
  <c r="BI13" i="42"/>
  <c r="BP13" i="42" s="1"/>
  <c r="AV11" i="42"/>
  <c r="AY5" i="42"/>
  <c r="AY2" i="42"/>
  <c r="AY4" i="42"/>
  <c r="AY3" i="42"/>
  <c r="EH17" i="42"/>
  <c r="BY15" i="42" l="1"/>
  <c r="BJ13" i="42"/>
  <c r="BT16" i="42"/>
  <c r="CB16" i="42"/>
  <c r="BW14" i="42"/>
  <c r="CB14" i="42"/>
  <c r="BS12" i="42"/>
  <c r="EI15" i="42"/>
  <c r="BT14" i="42"/>
  <c r="BN11" i="42"/>
  <c r="BO11" i="42"/>
  <c r="EH16" i="42"/>
  <c r="EJ16" i="42" s="1"/>
  <c r="BR12" i="42"/>
  <c r="BK13" i="42"/>
  <c r="BO13" i="42"/>
  <c r="BN13" i="42"/>
  <c r="BM13" i="42"/>
  <c r="BL13" i="42"/>
  <c r="EH14" i="42"/>
  <c r="EJ14" i="42" s="1"/>
  <c r="BY14" i="42"/>
  <c r="BV14" i="42"/>
  <c r="BZ14" i="42"/>
  <c r="BX14" i="42"/>
  <c r="BV15" i="42"/>
  <c r="BV16" i="42"/>
  <c r="BY16" i="42"/>
  <c r="BM11" i="42"/>
  <c r="BX16" i="42"/>
  <c r="BW16" i="42"/>
  <c r="BW15" i="42"/>
  <c r="EH15" i="42"/>
  <c r="BZ15" i="42"/>
  <c r="BZ16" i="42"/>
  <c r="BX15" i="42"/>
  <c r="BK11" i="42"/>
  <c r="BJ11" i="42"/>
  <c r="BL11" i="42"/>
  <c r="BP11" i="42"/>
  <c r="AY7" i="42"/>
  <c r="EI17" i="42"/>
  <c r="EJ17" i="42" s="1"/>
  <c r="BT12" i="42" l="1"/>
  <c r="BV12" i="42"/>
  <c r="EJ15" i="42"/>
  <c r="CB12" i="42"/>
  <c r="BS13" i="42"/>
  <c r="EI13" i="42" s="1"/>
  <c r="BR13" i="42"/>
  <c r="CC14" i="42"/>
  <c r="BR11" i="42"/>
  <c r="CB11" i="42" s="1"/>
  <c r="BS11" i="42"/>
  <c r="BW12" i="42"/>
  <c r="BY12" i="42"/>
  <c r="BZ12" i="42"/>
  <c r="BX12" i="42"/>
  <c r="CC15" i="42"/>
  <c r="CC16" i="42"/>
  <c r="BV11" i="42" l="1"/>
  <c r="CD14" i="42"/>
  <c r="CI14" i="42"/>
  <c r="BT13" i="42"/>
  <c r="CB13" i="42"/>
  <c r="CE16" i="42"/>
  <c r="CI16" i="42"/>
  <c r="CD15" i="42"/>
  <c r="CI15" i="42"/>
  <c r="CJ15" i="42"/>
  <c r="CJ16" i="42"/>
  <c r="CJ14" i="42"/>
  <c r="CG14" i="42"/>
  <c r="CF14" i="42"/>
  <c r="CE14" i="42"/>
  <c r="CH14" i="42"/>
  <c r="CC12" i="42"/>
  <c r="CI12" i="42" s="1"/>
  <c r="CG15" i="42"/>
  <c r="CG16" i="42"/>
  <c r="CH15" i="42"/>
  <c r="CF15" i="42"/>
  <c r="CE15" i="42"/>
  <c r="BT11" i="42"/>
  <c r="CF16" i="42"/>
  <c r="CD16" i="42"/>
  <c r="CH16" i="42"/>
  <c r="BX13" i="42"/>
  <c r="BY13" i="42"/>
  <c r="BZ13" i="42"/>
  <c r="BW13" i="42"/>
  <c r="BZ11" i="42"/>
  <c r="BW11" i="42"/>
  <c r="BX11" i="42"/>
  <c r="BY11" i="42"/>
  <c r="BV13" i="42"/>
  <c r="EH13" i="42"/>
  <c r="EJ13" i="42" s="1"/>
  <c r="CG12" i="42" l="1"/>
  <c r="CL14" i="42"/>
  <c r="CP14" i="42" s="1"/>
  <c r="CM14" i="42"/>
  <c r="CM15" i="42"/>
  <c r="CL15" i="42"/>
  <c r="CM16" i="42"/>
  <c r="CL16" i="42"/>
  <c r="CJ12" i="42"/>
  <c r="CD12" i="42"/>
  <c r="CF12" i="42"/>
  <c r="CH12" i="42"/>
  <c r="CE12" i="42"/>
  <c r="BS5" i="42"/>
  <c r="BS6" i="42"/>
  <c r="CC11" i="42"/>
  <c r="CC13" i="42"/>
  <c r="BS3" i="42"/>
  <c r="BS2" i="42"/>
  <c r="BS4" i="42"/>
  <c r="CS16" i="42" l="1"/>
  <c r="CT16" i="42"/>
  <c r="CP16" i="42"/>
  <c r="CR16" i="42"/>
  <c r="CV16" i="42"/>
  <c r="CN15" i="42"/>
  <c r="CT15" i="42"/>
  <c r="CV15" i="42"/>
  <c r="CP15" i="42"/>
  <c r="CR15" i="42"/>
  <c r="CS15" i="42"/>
  <c r="CS14" i="42"/>
  <c r="CW14" i="42" s="1"/>
  <c r="CR14" i="42"/>
  <c r="CT14" i="42"/>
  <c r="CV14" i="42"/>
  <c r="CM12" i="42"/>
  <c r="CL12" i="42"/>
  <c r="CN16" i="42"/>
  <c r="CN14" i="42"/>
  <c r="CH13" i="42"/>
  <c r="CI13" i="42"/>
  <c r="CD11" i="42"/>
  <c r="CI11" i="42"/>
  <c r="CJ11" i="42"/>
  <c r="CJ13" i="42"/>
  <c r="CF11" i="42"/>
  <c r="CE13" i="42"/>
  <c r="CE11" i="42"/>
  <c r="CH11" i="42"/>
  <c r="CG11" i="42"/>
  <c r="CG13" i="42"/>
  <c r="CD13" i="42"/>
  <c r="CF13" i="42"/>
  <c r="BS7" i="42"/>
  <c r="CW16" i="42" l="1"/>
  <c r="CX16" i="42"/>
  <c r="DB16" i="42"/>
  <c r="DA16" i="42"/>
  <c r="DB14" i="42"/>
  <c r="CX14" i="42"/>
  <c r="DC14" i="42"/>
  <c r="DD14" i="42"/>
  <c r="DA14" i="42"/>
  <c r="CZ14" i="42"/>
  <c r="CY14" i="42"/>
  <c r="CS12" i="42"/>
  <c r="CT12" i="42"/>
  <c r="CV12" i="42"/>
  <c r="CQ12" i="42"/>
  <c r="CR12" i="42"/>
  <c r="CL13" i="42"/>
  <c r="CM13" i="42"/>
  <c r="CN12" i="42"/>
  <c r="CW15" i="42"/>
  <c r="CX15" i="42" s="1"/>
  <c r="CM11" i="42"/>
  <c r="EI11" i="42" s="1"/>
  <c r="CL11" i="42"/>
  <c r="EH11" i="42" s="1"/>
  <c r="CZ15" i="42" l="1"/>
  <c r="DB15" i="42"/>
  <c r="CY16" i="42"/>
  <c r="DC16" i="42"/>
  <c r="DD16" i="42"/>
  <c r="DD15" i="42"/>
  <c r="CZ16" i="42"/>
  <c r="CY12" i="42"/>
  <c r="CW12" i="42"/>
  <c r="CZ12" i="42" s="1"/>
  <c r="DC15" i="42"/>
  <c r="CY15" i="42"/>
  <c r="CN13" i="42"/>
  <c r="DA15" i="42"/>
  <c r="CR13" i="42"/>
  <c r="CS13" i="42"/>
  <c r="CT13" i="42"/>
  <c r="CV13" i="42"/>
  <c r="CQ13" i="42"/>
  <c r="CQ11" i="42"/>
  <c r="CV11" i="42"/>
  <c r="DF14" i="42"/>
  <c r="CT11" i="42"/>
  <c r="EJ11" i="42"/>
  <c r="CS11" i="42"/>
  <c r="CN11" i="42"/>
  <c r="CR11" i="42"/>
  <c r="DG14" i="42"/>
  <c r="DG16" i="42" l="1"/>
  <c r="DF16" i="42"/>
  <c r="DB12" i="42"/>
  <c r="DA12" i="42"/>
  <c r="DC12" i="42"/>
  <c r="CX12" i="42"/>
  <c r="DD12" i="42"/>
  <c r="DH14" i="42"/>
  <c r="DG15" i="42"/>
  <c r="DF15" i="42"/>
  <c r="CW11" i="42"/>
  <c r="CN6" i="42"/>
  <c r="DH16" i="42"/>
  <c r="CW13" i="42"/>
  <c r="DD13" i="42" s="1"/>
  <c r="CN2" i="42"/>
  <c r="CN4" i="42"/>
  <c r="CN3" i="42"/>
  <c r="CN5" i="42"/>
  <c r="DA13" i="42" l="1"/>
  <c r="DB13" i="42"/>
  <c r="DG12" i="42"/>
  <c r="DH12" i="42" s="1"/>
  <c r="DF12" i="42"/>
  <c r="EH12" i="42" s="1"/>
  <c r="EJ12" i="42" s="1"/>
  <c r="DC13" i="42"/>
  <c r="CX13" i="42"/>
  <c r="CZ13" i="42"/>
  <c r="CY13" i="42"/>
  <c r="DD11" i="42"/>
  <c r="CY11" i="42"/>
  <c r="DA11" i="42"/>
  <c r="DB11" i="42"/>
  <c r="DC11" i="42"/>
  <c r="CZ11" i="42"/>
  <c r="CX11" i="42"/>
  <c r="DH15" i="42"/>
  <c r="CN7" i="42"/>
  <c r="DG11" i="42" l="1"/>
  <c r="DF11" i="42"/>
  <c r="DF13" i="42"/>
  <c r="DG13" i="42"/>
  <c r="DH11" i="42" l="1"/>
  <c r="DH13" i="42"/>
  <c r="DH6" i="42" s="1"/>
  <c r="DH3" i="42"/>
  <c r="DH5" i="42" l="1"/>
  <c r="DH2" i="42"/>
  <c r="DH4" i="42"/>
  <c r="DH7" i="42" l="1"/>
  <c r="EJ5" i="42"/>
  <c r="EJ4" i="42"/>
  <c r="EJ3" i="42"/>
  <c r="EJ2" i="42"/>
  <c r="EJ6" i="42"/>
  <c r="EJ7"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Nora Garcia</author>
  </authors>
  <commentList>
    <comment ref="F10" authorId="0" shapeId="0" xr:uid="{00000000-0006-0000-0100-000001000000}">
      <text>
        <r>
          <rPr>
            <b/>
            <sz val="9"/>
            <color indexed="81"/>
            <rFont val="Tahoma"/>
            <family val="2"/>
          </rPr>
          <t>Nora Garcia:</t>
        </r>
        <r>
          <rPr>
            <sz val="9"/>
            <color indexed="81"/>
            <rFont val="Tahoma"/>
            <family val="2"/>
          </rPr>
          <t xml:space="preserve">
</t>
        </r>
      </text>
    </comment>
    <comment ref="J10" authorId="0" shapeId="0" xr:uid="{00000000-0006-0000-0100-000002000000}">
      <text>
        <r>
          <rPr>
            <b/>
            <sz val="9"/>
            <color indexed="81"/>
            <rFont val="Tahoma"/>
            <family val="2"/>
          </rPr>
          <t>Nora Garcia:</t>
        </r>
        <r>
          <rPr>
            <sz val="9"/>
            <color indexed="81"/>
            <rFont val="Tahoma"/>
            <family val="2"/>
          </rPr>
          <t xml:space="preserve">
</t>
        </r>
      </text>
    </comment>
    <comment ref="N10" authorId="0" shapeId="0" xr:uid="{00000000-0006-0000-0100-000003000000}">
      <text>
        <r>
          <rPr>
            <b/>
            <sz val="9"/>
            <color indexed="81"/>
            <rFont val="Tahoma"/>
            <family val="2"/>
          </rPr>
          <t>Nora Garcia:</t>
        </r>
        <r>
          <rPr>
            <sz val="9"/>
            <color indexed="81"/>
            <rFont val="Tahoma"/>
            <family val="2"/>
          </rPr>
          <t xml:space="preserve">
</t>
        </r>
      </text>
    </comment>
    <comment ref="R10" authorId="0" shapeId="0" xr:uid="{00000000-0006-0000-0100-000004000000}">
      <text>
        <r>
          <rPr>
            <b/>
            <sz val="9"/>
            <color indexed="81"/>
            <rFont val="Tahoma"/>
            <family val="2"/>
          </rPr>
          <t>Nora Garcia:</t>
        </r>
        <r>
          <rPr>
            <sz val="9"/>
            <color indexed="81"/>
            <rFont val="Tahoma"/>
            <family val="2"/>
          </rPr>
          <t xml:space="preserve">
</t>
        </r>
      </text>
    </comment>
    <comment ref="V10" authorId="0" shapeId="0" xr:uid="{00000000-0006-0000-0100-000005000000}">
      <text>
        <r>
          <rPr>
            <b/>
            <sz val="9"/>
            <color indexed="81"/>
            <rFont val="Tahoma"/>
            <family val="2"/>
          </rPr>
          <t>Nora Garcia:</t>
        </r>
        <r>
          <rPr>
            <sz val="9"/>
            <color indexed="81"/>
            <rFont val="Tahoma"/>
            <family val="2"/>
          </rPr>
          <t xml:space="preserve">
</t>
        </r>
      </text>
    </comment>
    <comment ref="A27" authorId="0" shapeId="0" xr:uid="{00000000-0006-0000-0100-000006000000}">
      <text>
        <r>
          <rPr>
            <b/>
            <sz val="9"/>
            <color indexed="81"/>
            <rFont val="Tahoma"/>
            <family val="2"/>
          </rPr>
          <t>Nora Garcia:</t>
        </r>
        <r>
          <rPr>
            <sz val="9"/>
            <color indexed="81"/>
            <rFont val="Tahoma"/>
            <family val="2"/>
          </rPr>
          <t xml:space="preserve">
Nombre y cargo de quien revisa y aprueba, debe ser el lider del proyecto y debe ir con el correspondiente Vo Bo</t>
        </r>
      </text>
    </comment>
    <comment ref="A29" authorId="0" shapeId="0" xr:uid="{00000000-0006-0000-0100-000007000000}">
      <text>
        <r>
          <rPr>
            <b/>
            <sz val="9"/>
            <color indexed="81"/>
            <rFont val="Tahoma"/>
            <family val="2"/>
          </rPr>
          <t>Nora Garcia:</t>
        </r>
        <r>
          <rPr>
            <sz val="9"/>
            <color indexed="81"/>
            <rFont val="Tahoma"/>
            <family val="2"/>
          </rPr>
          <t xml:space="preserve">
Nombre y cargo de quien proyecta de la Subgerencia Corporativa </t>
        </r>
      </text>
    </comment>
  </commentList>
</comments>
</file>

<file path=xl/sharedStrings.xml><?xml version="1.0" encoding="utf-8"?>
<sst xmlns="http://schemas.openxmlformats.org/spreadsheetml/2006/main" count="203" uniqueCount="95">
  <si>
    <t xml:space="preserve">Revisó y aprobó:  </t>
  </si>
  <si>
    <t>BIENES YIO SERVICIOS</t>
  </si>
  <si>
    <t xml:space="preserve">CARACTERISTICAS Y/O ESPECIFICACIONES TECNICAS </t>
  </si>
  <si>
    <t xml:space="preserve">CANTIDADES SOLICITADAS </t>
  </si>
  <si>
    <t>ANÁLISIS DE DATOS ATÍPICOS</t>
  </si>
  <si>
    <t>Q1</t>
  </si>
  <si>
    <t>Q3</t>
  </si>
  <si>
    <t>RIC</t>
  </si>
  <si>
    <t>LÍMITE INFERIOR</t>
  </si>
  <si>
    <t>LÍMITE SUPERIOR</t>
  </si>
  <si>
    <t>ÍTEM</t>
  </si>
  <si>
    <t>CÓDIGO: GJC-FT09</t>
  </si>
  <si>
    <t>VERSIÓN N° 05</t>
  </si>
  <si>
    <t>GESTIÓN JURÍDICA Y CONTRACTUAL</t>
  </si>
  <si>
    <t>FECHA: FEBRERO DE 2017</t>
  </si>
  <si>
    <t>PRESUPUESTO OFICIAL PARA LA CONTRATACIÓN DE ESTE OBJETO:</t>
  </si>
  <si>
    <t>PRESUPUESTO ASIGNADO EN PLAN ANUAL DE ADQUISICIONES PARA LA VIGENCIA:</t>
  </si>
  <si>
    <t>FORMATO</t>
  </si>
  <si>
    <t>Revisó: Manuel Antonio Santamaría Guzmán  / Profesional 3 / Subgerencia Corporativa</t>
  </si>
  <si>
    <t>ANÁLISIS 1</t>
  </si>
  <si>
    <t>DISPERSIÓN</t>
  </si>
  <si>
    <t>&lt;30%</t>
  </si>
  <si>
    <t>&gt;40%</t>
  </si>
  <si>
    <t>ÍTEMS</t>
  </si>
  <si>
    <t>CAJA</t>
  </si>
  <si>
    <t>UNIDAD</t>
  </si>
  <si>
    <t>ÍTEMS NO COTIZADOS</t>
  </si>
  <si>
    <t xml:space="preserve">TOTAL DE ITEM </t>
  </si>
  <si>
    <t>&gt;30% Y &lt;35%</t>
  </si>
  <si>
    <t>&gt;36% Y &lt;40%</t>
  </si>
  <si>
    <t>COTIZACIONES ENTREGADAS</t>
  </si>
  <si>
    <t>Para revisar</t>
  </si>
  <si>
    <t>ANÁLISIS: DESVIACIÓN ESTÁNDAR</t>
  </si>
  <si>
    <t>ANALISIS PROMEDIO 0</t>
  </si>
  <si>
    <t xml:space="preserve">PROMEDIO </t>
  </si>
  <si>
    <t>DESV</t>
  </si>
  <si>
    <t>% DESV</t>
  </si>
  <si>
    <t>ANALISIS ABSOLUTO 1</t>
  </si>
  <si>
    <t>MAX</t>
  </si>
  <si>
    <t>ANALISIS PROMEDIO 1</t>
  </si>
  <si>
    <t>ANALISIS ABSOLUTO 2</t>
  </si>
  <si>
    <t>ANALISIS ABSOLUTO 3</t>
  </si>
  <si>
    <t>ANALISIS PROMEDIO FINAL</t>
  </si>
  <si>
    <t>ANALISIS PROMEDIO 2</t>
  </si>
  <si>
    <t>ANALISIS PROMEDIO 3</t>
  </si>
  <si>
    <t>ANALISIS PROMEDIO 4</t>
  </si>
  <si>
    <t xml:space="preserve">ESTUDIO DE PRECIOS DE MERCADO </t>
  </si>
  <si>
    <t xml:space="preserve">EDUARDO GONZÁLEZ MORA </t>
  </si>
  <si>
    <t xml:space="preserve">Subgerente Corporativo </t>
  </si>
  <si>
    <t>CAJAS DE LECHONA DE 350 GRAMOS, CON CUERO Y AREPA PARA LA TERMINAL SEDE SALITRE (INCLUYE CUBIERTOS DESECHABLES; EMPAQUE Y TRANSPORTE). DEBEN SER ENTREGADOS A LAS 12PM DEL DÍA DE LA CELEBRACIÓN (16 DE JULIO DE 2026) EN LAS INSTALACIONES DE LA TERMINAL SALITRE, UBICADA EN LA DIAGONAL 23 NO. 69- 11.</t>
  </si>
  <si>
    <t>CAJAS DE LECHONA DE 350 GRAMOS, CON CUERO Y AREPA PARA LA TERMINAL SEDE NORTE (INCLUYE CUBIERTOS DESECHABLES; EMPAQUE Y TRANSPORTE). DEBEN SER ENTREGADOS A LAS 12PM DEL DÍA DE LA CELEBRACIÓN (16 DE JULIO DE 2026) EN LAS INSTALACIONES DE LA TERMINAL NORTE, UBICADA EN LA CALLE 192 NO. 19 – 43.</t>
  </si>
  <si>
    <t>CAJAS DE LECHONA DE 350 GRAMOS, CON CUERO Y AREPA PARA LA TERMINAL SEDE SUR (INCLUYE CUBIERTOS DESECHABLES; EMPAQUE Y TRANSPORTE). DEBEN SER ENTREGADOS A LAS 12PM DEL DÍA DE LA CELEBRACIÓN (16 DE JULIO DE 2026) EN LAS INSTALACIONES DE LA TERMINAL SUR, UBICADA EN LA CALLE 57Q SUR NO. 75F – 82</t>
  </si>
  <si>
    <t>GASEOSAS DE 250 ML. TERMINAL SEDE SALITRE (TRANSPORTE). DEBEN SER ENTREGADOS A LAS 12PM DEL DÍA DE LA CELEBRACIÓN (16 DE JULIO DE 2026) EN LAS INSTALACIONES DE LA TERMINAL SALITRE, UBICADA EN LA DIAGONAL 23 NO. 69- 11.</t>
  </si>
  <si>
    <t>GASEOSAS DE 250 ML. TERMINAL SEDE NORTE (TRANSPORTE). DEBEN SER ENTREGADOS A LAS 12PM DEL DÍA DE LA CELEBRACIÓN (16 DE JULIO DE 2026) EN LAS INSTALACIONES DE LA TERMINAL NORTE, UBICADA EN LA CALLE 192 NO. 19 – 43.</t>
  </si>
  <si>
    <t>GASEOSAS DE 250 ML. TERMINAL SEDE SUR(TRANSPORTE). DEBEN SER ENTREGADOS A LAS 12PM DEL DÍA DE LA CELEBRACIÓN (16 DE JULIO DE 2026) EN LAS INSTALACIONES DE LA TERMINAL SUR, UBICADA EN LA CALLE 57Q SUR NO. 75F – 82.</t>
  </si>
  <si>
    <t>VALOR UNITARIO ANTES DE IVA</t>
  </si>
  <si>
    <t xml:space="preserve">IVA E IMPUESTO A QUE HAYA LUGAR </t>
  </si>
  <si>
    <t xml:space="preserve">VALOR UNITARIO INCLUIDO IVA E IMPUESTOS A QUE HAYA LUGAR </t>
  </si>
  <si>
    <t xml:space="preserve">VALOR TOTAL INCLUIDO IVA E IMPUESTOS A QUE HAYA LUGAR </t>
  </si>
  <si>
    <t>N/A</t>
  </si>
  <si>
    <t>N.A</t>
  </si>
  <si>
    <t>CONTRATO TT-104-2025 ajustados con IPC 2025 (5,10%)</t>
  </si>
  <si>
    <t xml:space="preserve">VALOR DEL PRESUPUESTO OFICIAL SEGÚN ESTUDIO </t>
  </si>
  <si>
    <t>VALOR TOTAL SUGERIDO - (VALOR PROMEDIO  POR ÍTEM INCLUIDO IMPUESTOS A QUE HAYA LUGAR) (COMO TECHO A OFERTAR)</t>
  </si>
  <si>
    <r>
      <t>NOMBRE DEL PROYECTO:</t>
    </r>
    <r>
      <rPr>
        <sz val="10"/>
        <color theme="1"/>
        <rFont val="Arial "/>
      </rPr>
      <t xml:space="preserve"> Suministro de alimentación (comida empacada y bebida) para la celebración de los actos en conmemoración del día del conductor en la Terminal de Transporte S.A.</t>
    </r>
  </si>
  <si>
    <t>Lider del Proyecto</t>
  </si>
  <si>
    <t>Proyectó: Proyectó: Yalile Maldonado Castro/ Contratista / Subgerencia Corporativa</t>
  </si>
  <si>
    <t>COTIZACIÓN 2</t>
  </si>
  <si>
    <t>COTIZACIÓN 3</t>
  </si>
  <si>
    <t>TIEMPO DE EJECUCIÓN EN DIAS</t>
  </si>
  <si>
    <t>COTIZACIÓN 4</t>
  </si>
  <si>
    <t>MANUEL SALGADO RUIZ</t>
  </si>
  <si>
    <t xml:space="preserve">Director Servicio al Transportador </t>
  </si>
  <si>
    <t xml:space="preserve">VALORES HISTÓRICOS </t>
  </si>
  <si>
    <t xml:space="preserve">VALOR UNITARIO PROMEDIO INCLUIDO  IMPUESTOS A QUE HAYA LUGAR </t>
  </si>
  <si>
    <t>De acuerdo con el presupuesto asignado para la actual vigencia, para cumplir con el objetivo propuesto que se describirá a continuación: “Suministro de alimentación (comida empacada y bebida) para la celebración de los actos en conmemoración del día del conductor en la Terminal de Transporte S.A.” se considera que el presupuesto oficial para la futura contratación según el presente estudio de mercado es por la suma VEINTISÉIS MILLONES QUINIENTOS TREINTA Y CUATRO MIL DOSCIENTOS PESOS M/CTE ($26.534.200) incluido impuestos a los que haya lugar, costos directos e indirectos en los que deba incurrir el contratista para el cumplimiento del contrato.  Se anexan las respectivas cotizaciones.</t>
  </si>
  <si>
    <r>
      <rPr>
        <b/>
        <sz val="11"/>
        <color theme="1"/>
        <rFont val="Century Gothic"/>
        <family val="2"/>
      </rPr>
      <t xml:space="preserve">Concepto:  </t>
    </r>
    <r>
      <rPr>
        <sz val="11"/>
        <color theme="1"/>
        <rFont val="Century Gothic"/>
        <family val="2"/>
      </rPr>
      <t>Se recomienda para la futura contratación el valor de la media aritmética incluido impuestos a los que haya lugar de las cotizaciones presentadas y precio histórico en el presente estudio de precios de mercado, es decir los relacionados en la columna "  VALOR TOTAL SUGERIDO INCLUIDO IMPUESTOS QUE HAYA LUGAR (promedio como Techo a Ofertar)" VEINTISÉIS MILLONES QUINIENTOS TREINTA Y CUATRO MIL DOSCIENTOS PESOS M/CTE ($26.534.200) incluido impuestos a los que haya lugar y demás costos y gastos a que hubiere lugar para el normal desarrollo del futuro contrato</t>
    </r>
  </si>
  <si>
    <t xml:space="preserve">
FECHA: 23/04/2026
</t>
  </si>
  <si>
    <r>
      <rPr>
        <b/>
        <sz val="11"/>
        <rFont val="Calibri"/>
        <family val="2"/>
      </rPr>
      <t xml:space="preserve">Observaciones: </t>
    </r>
    <r>
      <rPr>
        <sz val="11"/>
        <rFont val="Calibri"/>
        <family val="2"/>
      </rPr>
      <t xml:space="preserve"> Para el presente análisis, la Subgerencia Corporativa procedió a realizar el presente estudio de precios de mercado publicando la solicitud de información a los proveedores con referencia REF: No. COT-18-2026 en la plataforma del SECOP II, la cual da publicidad al proceso de cotización a empresas que cumplen con el objeto a consultar y por medio del correo electrónico cotizaciones@terminaldetransporte.gov.co, se recibieron seis (6) cotizaciones de las siguientes empresas:    LECHONCITA BOGOTANA, EL LECHÓN DEL CHONCHIS SAS, LECHONERÍA EL CERDITO TOLIMENSE, PROCESADORA DE ALIMENTOS EL GORDO S.A.,ALIMENTOS EL ROBLE SAS y SAMUEL QUINTERO CAMARGO,  Para ampliar el análisis de precios, se incluyó el precio histórico del contrato TT-104-2025 ajustado al IPC  2025 (5.10%). 
La dirección de Servicio al Transportador y el grupo estructurador de la entidad revisaron las cotizaciones incluidas en el presente estudio de mercado y consideraron que los ítems presentados cumplen con las características solicitadas en las especificaciones técnicas (ver su firma en el presente estudio).
Se procedió a realizar el análisis de valores unitarios y totales de acuerdo a cada cotización incluido impuesto a que haya lugar, donde se aplicó la metodología de media aritmética para obtener el valor unitario promedio de las cotizaciones por cada ítem.  Teniendo en cuenta que la media aritmética es un tipo de herramienta que otorga la misma ponderación a todos los valores presentados, que es una medida de tendencia central, y que al realizar análisis del coeficiente de variación incluido promedio máximo absoluto es la que menos distorsión presenta frente a otras medidas de tendencia central, se recomienda como valor de referencia para el presente proceso, el valor total promedio por ítem como techo a ofertar de las cotizaciones presentadas    
Nota 1: Las casillas con valores sombreadas de color rojo corresponden a datos atípicos que se identificaron por métodos de desviación estándar y medidas de dispersión (Numerales 8.3.2 y 8.3.4. - Guía de elaboración de estudios de sector, Colombia Compra Eficiente, https://www.colombiacompra.gov.co/wp-content/uploads/2025/08/Guia-para-la-elaboracion-de-estudios-del-sector-Original-Firmado.pdf y al análisis de Desviación Estándar (STD) superior al 30%.  
</t>
    </r>
  </si>
  <si>
    <t>COTIZACION 1</t>
  </si>
  <si>
    <t>COTIZACIÓN 5</t>
  </si>
  <si>
    <t>COTIZACIÓN 6</t>
  </si>
  <si>
    <t xml:space="preserve">VALOR TOTAL (VALOR PROMEDIO INCLUIDO IMPUESTOS A QUE HAYA LUGAR) </t>
  </si>
  <si>
    <t>GASEOSAS DE 250 ML. TERMINAL SEDE SALITRE (TRANSPORTE). DEBEN SER ENTREGADOS EN LAS CANTIDADES, FECHAS Y HORARIOS ACORDADOS CON EL SUPERVISOR EN LAS INSTALACIONES DE LA TERMINAL SALITRE, UBICADA EN LA DIAGONAL 23 NO. 69- 11. … (14, 15 y 16 JULIO DE 2026)</t>
  </si>
  <si>
    <t>ANEXO 2 - PROPUESTA ECONÓMICA - SUMINISTRO ALIMENTACIÓN DÍA DEL CONDUCTOR</t>
  </si>
  <si>
    <t>FIRMA_________________________________________</t>
  </si>
  <si>
    <t>GASEOSAS DE 250 ML. TERMINAL SEDE NORTE (TRANSPORTE). DEBEN SER ENTREGADOS A LAS 12PM DEL DÍA DE LA CELEBRACIÓN (16 DE JULIO DE 2026) EN LAS INSTALACIONES DE LA TERMINAL NORTE, UBICADA EN LA CALLE 192 No. 19 – 43.</t>
  </si>
  <si>
    <t>CAJAS DE LECHONA DE 350 GRAMOS, CON CUERO Y AREPA PARA LA TERMINAL SEDE SALITRE (INCLUYE CUBIERTOS DESECHABLES; EMPAQUE Y TRANSPORTE). DEBEN SER ENTREGADOS EN LAS CANTIDADES, FECHAS Y HORARIOS ACORDADOS CON EL SUPERVISOR EN LAS INSTALACIONES DE LA TERMINAL SALITRE, UBICADA EN LA DIAGONAL 23 No. 69- 11.  .. (14, 15 y 16 JULIO DE 2026)</t>
  </si>
  <si>
    <t>CAJAS DE LECHONA DE 350 GRAMOS, CON CUERO Y AREPA PARA LA TERMINAL SEDE NORTE (INCLUYE CUBIERTOS DESECHABLES; EMPAQUE Y TRANSPORTE). DEBEN SER ENTREGADOS A LAS 12PM DEL DÍA DE LA CELEBRACIÓN (16 DE JULIO DE 2026) EN LAS INSTALACIONES DE LA TERMINAL NORTE, UBICADA EN LA CALLE 192 No. 19 – 43.</t>
  </si>
  <si>
    <t>CAJAS DE LECHONA DE 350 GRAMOS, CON CUERO Y AREPA PARA LA TERMINAL SEDE SUR (INCLUYE CUBIERTOS DESECHABLES; EMPAQUE Y TRANSPORTE). DEBEN SER ENTREGADOS A LAS 12PM DEL DÍA DE LA CELEBRACIÓN (16 DE JULIO DE 2026) EN LAS INSTALACIONES DE LA TERMINAL SUR, UBICADA EN LA CALLE 57Q SUR No. 75F – 82</t>
  </si>
  <si>
    <t>GASEOSAS DE 250 ML. TERMINAL SEDE SUR(TRANSPORTE). DEBEN SER ENTREGADOS A LAS 12PM DEL DÍA DE LA CELEBRACIÓN (16 DE JULIO DE 2026) EN LAS INSTALACIONES DE LA TERMINAL SUR, UBICADA EN LA CALLE 57Q SUR No. 75F – 82.</t>
  </si>
  <si>
    <t>VALOR DEL PRESUPUESTO OFICIAL PAA 2026</t>
  </si>
  <si>
    <t>CUMPLE / NO CUMPLE</t>
  </si>
  <si>
    <r>
      <rPr>
        <b/>
        <sz val="10"/>
        <color theme="1"/>
        <rFont val="Century Gothic"/>
        <family val="2"/>
      </rPr>
      <t>NOMBRE:</t>
    </r>
    <r>
      <rPr>
        <sz val="10"/>
        <color theme="1"/>
        <rFont val="Century Gothic"/>
        <family val="2"/>
      </rPr>
      <t xml:space="preserve"> Suministro de alimentación para la celebración de los actos culturales y de conmemoración del día del conductor a desarrollarse en la Terminal de Transporte S.A.
</t>
    </r>
    <r>
      <rPr>
        <b/>
        <sz val="10"/>
        <color theme="1"/>
        <rFont val="Century Gothic"/>
        <family val="2"/>
      </rPr>
      <t>NOTA 1:</t>
    </r>
    <r>
      <rPr>
        <sz val="10"/>
        <color theme="1"/>
        <rFont val="Century Gothic"/>
        <family val="2"/>
      </rPr>
      <t xml:space="preserve"> Los proponentes deben llenar únicamente las casillas sombreadas en azul.
</t>
    </r>
    <r>
      <rPr>
        <b/>
        <sz val="10"/>
        <color theme="1"/>
        <rFont val="Century Gothic"/>
        <family val="2"/>
      </rPr>
      <t>NOTA 2:</t>
    </r>
    <r>
      <rPr>
        <sz val="10"/>
        <color theme="1"/>
        <rFont val="Century Gothic"/>
        <family val="2"/>
      </rPr>
      <t xml:space="preserve"> Los alimentos empacados y bebidas deberán ser entregados en las cantidades, fechas, horarios y lugares establecidos en las especificaciones técnicas o definidos por el supervisor del contrato. Las cantidades inicialmente requeridas por cada ítem deberán ser entregadas en los lugares establecidos y en el horario que defina el supervisor del contrato.
</t>
    </r>
    <r>
      <rPr>
        <b/>
        <sz val="10"/>
        <color theme="1"/>
        <rFont val="Century Gothic"/>
        <family val="2"/>
      </rPr>
      <t>NOTA 3:</t>
    </r>
    <r>
      <rPr>
        <sz val="10"/>
        <color theme="1"/>
        <rFont val="Century Gothic"/>
        <family val="2"/>
      </rPr>
      <t xml:space="preserve"> En caso de requerirse cantidades adicionales de alimentos empacados y bebidas para ser entregadas los días 14 y 15 de julio de 2026, el supervisor del Contrato informará al contratista con mínimo cuarenta y ocho (48) horas de antelación las cantidades requeridas, así como los lugares y horarios de entrega, con el fin de que este disponga lo necesario para garantizar el oportuno y adecuado cumplimiento de las entregas.
</t>
    </r>
    <r>
      <rPr>
        <b/>
        <sz val="10"/>
        <color theme="1"/>
        <rFont val="Century Gothic"/>
        <family val="2"/>
      </rPr>
      <t>NOTA 4:</t>
    </r>
    <r>
      <rPr>
        <sz val="10"/>
        <color theme="1"/>
        <rFont val="Century Gothic"/>
        <family val="2"/>
      </rPr>
      <t xml:space="preserve"> El valor ofertado es a todo costo, por lo que debe leer la Invitación antes de diligenciar el presente Formato de Propuesta Económica.
</t>
    </r>
    <r>
      <rPr>
        <b/>
        <sz val="10"/>
        <color theme="1"/>
        <rFont val="Century Gothic"/>
        <family val="2"/>
      </rPr>
      <t>NOTA 5</t>
    </r>
    <r>
      <rPr>
        <sz val="10"/>
        <color theme="1"/>
        <rFont val="Century Gothic"/>
        <family val="2"/>
      </rPr>
      <t xml:space="preserve">: Al diligenciar el Formato de Propuesta Económica, los proponentes deberán ofertar precios unitarios y valores totales ajustados al peso, sin centavos para todos y cada uno de los ítems, los cuales hacen parte de la propuesta. El ajuste al peso se hará de la siguiente manera, ya sea por exceso o por defecto de los precios unitarios, así: cuando la fracción decimal del peso sea igual o superior a 5 se aproxima por exceso y cuando sea inferior a 5 se aproxima por defecto. Los precios unitarios y valores totales para cada ítem deben escribirse en forma legible y sin enmendaduras.
</t>
    </r>
    <r>
      <rPr>
        <b/>
        <sz val="10"/>
        <color theme="1"/>
        <rFont val="Century Gothic"/>
        <family val="2"/>
      </rPr>
      <t>NOTA 6:</t>
    </r>
    <r>
      <rPr>
        <sz val="10"/>
        <color theme="1"/>
        <rFont val="Century Gothic"/>
        <family val="2"/>
      </rPr>
      <t xml:space="preserve"> La presente oferta se mantendrá por la vigencia de 60 días.</t>
    </r>
  </si>
  <si>
    <t>TIEMPO DE EJECUCIÓN EN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</si>
</sst>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4" formatCode="_-&quot;$&quot;\ * #,##0.00_-;\-&quot;$&quot;\ * #,##0.00_-;_-&quot;$&quot;\ * &quot;-&quot;??_-;_-@_-"/>
    <numFmt numFmtId="43" formatCode="_-* #,##0.00_-;\-* #,##0.00_-;_-* &quot;-&quot;??_-;_-@_-"/>
    <numFmt numFmtId="164" formatCode="_(&quot;$&quot;\ * #,##0.00_);_(&quot;$&quot;\ * \(#,##0.00\);_(&quot;$&quot;\ * &quot;-&quot;??_);_(@_)"/>
    <numFmt numFmtId="165" formatCode="_(&quot;$&quot;\ * #,##0_);_(&quot;$&quot;\ * \(#,##0\);_(&quot;$&quot;\ * &quot;-&quot;??_);_(@_)"/>
    <numFmt numFmtId="166" formatCode="0.0"/>
    <numFmt numFmtId="167" formatCode="&quot;$&quot;\ #,##0"/>
    <numFmt numFmtId="168" formatCode="_-&quot;$&quot;\ * #,##0.0_-;\-&quot;$&quot;\ * #,##0.0_-;_-&quot;$&quot;\ * &quot;-&quot;_-;_-@_-"/>
  </numFmts>
  <fonts count="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9"/>
      <color indexed="81"/>
      <name val="Tahoma"/>
      <family val="2"/>
    </font>
    <font>
      <b/>
      <sz val="9"/>
      <color indexed="81"/>
      <name val="Tahoma"/>
      <family val="2"/>
    </font>
    <font>
      <sz val="10"/>
      <name val="Arial"/>
      <family val="2"/>
    </font>
    <font>
      <sz val="11"/>
      <color theme="1"/>
      <name val="Arial"/>
      <family val="2"/>
    </font>
    <font>
      <sz val="10"/>
      <color rgb="FF000000"/>
      <name val="Times New Roman"/>
      <family val="1"/>
    </font>
    <font>
      <sz val="10"/>
      <color rgb="FF000000"/>
      <name val="Times New Roman"/>
      <family val="1"/>
    </font>
    <font>
      <sz val="10"/>
      <color theme="1"/>
      <name val="Century Gothic"/>
      <family val="2"/>
    </font>
    <font>
      <b/>
      <sz val="11"/>
      <name val="Arial Narrow"/>
      <family val="2"/>
    </font>
    <font>
      <sz val="12"/>
      <color theme="1"/>
      <name val="Calibri"/>
      <family val="2"/>
      <scheme val="minor"/>
    </font>
    <font>
      <sz val="12"/>
      <color theme="1"/>
      <name val="Arial Narrow"/>
      <family val="2"/>
    </font>
    <font>
      <sz val="10"/>
      <color rgb="FF000000"/>
      <name val="Calibri"/>
      <family val="2"/>
      <scheme val="minor"/>
    </font>
    <font>
      <b/>
      <sz val="10"/>
      <color theme="1"/>
      <name val="Arial Narrow"/>
      <family val="2"/>
    </font>
    <font>
      <sz val="10"/>
      <color theme="1"/>
      <name val="Arial "/>
    </font>
    <font>
      <sz val="11"/>
      <color theme="1"/>
      <name val="Arial "/>
    </font>
    <font>
      <b/>
      <sz val="11"/>
      <color theme="1"/>
      <name val="Arial "/>
    </font>
    <font>
      <u/>
      <sz val="11"/>
      <color theme="10"/>
      <name val="Calibri"/>
      <family val="2"/>
      <scheme val="minor"/>
    </font>
    <font>
      <b/>
      <sz val="10"/>
      <color theme="1"/>
      <name val="Arial "/>
    </font>
    <font>
      <b/>
      <sz val="11"/>
      <color theme="1"/>
      <name val="Arial Narrow"/>
      <family val="2"/>
    </font>
    <font>
      <sz val="11"/>
      <color theme="1"/>
      <name val="Century Gothic"/>
      <family val="2"/>
    </font>
    <font>
      <sz val="11"/>
      <name val="Arial Narrow"/>
      <family val="2"/>
    </font>
    <font>
      <b/>
      <sz val="11"/>
      <color theme="1"/>
      <name val="Century Gothic"/>
      <family val="2"/>
    </font>
    <font>
      <sz val="12"/>
      <color theme="1"/>
      <name val="Calibri"/>
      <family val="2"/>
      <scheme val="minor"/>
    </font>
    <font>
      <sz val="11"/>
      <color theme="0" tint="-0.249977111117893"/>
      <name val="Arial "/>
    </font>
    <font>
      <sz val="10"/>
      <name val="Arial"/>
      <family val="2"/>
    </font>
    <font>
      <sz val="11"/>
      <name val="Calibri"/>
      <family val="2"/>
    </font>
    <font>
      <b/>
      <sz val="11"/>
      <name val="Calibri"/>
      <family val="2"/>
    </font>
    <font>
      <b/>
      <sz val="10"/>
      <color theme="1"/>
      <name val="Century Gothic"/>
      <family val="2"/>
    </font>
    <font>
      <b/>
      <sz val="14"/>
      <color theme="1"/>
      <name val="Century Gothic"/>
      <family val="2"/>
    </font>
  </fonts>
  <fills count="19">
    <fill>
      <patternFill patternType="none"/>
    </fill>
    <fill>
      <patternFill patternType="gray125"/>
    </fill>
    <fill>
      <patternFill patternType="solid">
        <fgColor theme="0" tint="-0.14999847407452621"/>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rgb="FFFFFFCC"/>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9">
    <xf numFmtId="0" fontId="0" fillId="0" borderId="0"/>
    <xf numFmtId="164" fontId="7" fillId="0" borderId="0" applyFont="0" applyFill="0" applyBorder="0" applyAlignment="0" applyProtection="0"/>
    <xf numFmtId="9" fontId="10" fillId="0" borderId="0" applyFont="0" applyFill="0" applyBorder="0" applyAlignment="0" applyProtection="0"/>
    <xf numFmtId="0" fontId="11" fillId="0" borderId="0"/>
    <xf numFmtId="0" fontId="12" fillId="0" borderId="0"/>
    <xf numFmtId="0" fontId="13" fillId="0" borderId="0"/>
    <xf numFmtId="0" fontId="18" fillId="0" borderId="0"/>
    <xf numFmtId="44" fontId="12" fillId="0" borderId="0" applyFont="0" applyFill="0" applyBorder="0" applyAlignment="0" applyProtection="0"/>
    <xf numFmtId="0" fontId="6" fillId="0" borderId="0"/>
    <xf numFmtId="0" fontId="6" fillId="0" borderId="0"/>
    <xf numFmtId="44" fontId="5" fillId="0" borderId="0" applyFont="0" applyFill="0" applyBorder="0" applyAlignment="0" applyProtection="0"/>
    <xf numFmtId="0" fontId="16" fillId="0" borderId="0"/>
    <xf numFmtId="43"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2" fillId="0" borderId="0"/>
    <xf numFmtId="44" fontId="12" fillId="0" borderId="0" applyFont="0" applyFill="0" applyBorder="0" applyAlignment="0" applyProtection="0"/>
    <xf numFmtId="44" fontId="4" fillId="0" borderId="0" applyFont="0" applyFill="0" applyBorder="0" applyAlignment="0" applyProtection="0"/>
    <xf numFmtId="0" fontId="3" fillId="0" borderId="0"/>
    <xf numFmtId="44" fontId="3" fillId="0" borderId="0" applyFont="0" applyFill="0" applyBorder="0" applyAlignment="0" applyProtection="0"/>
    <xf numFmtId="0" fontId="6" fillId="0" borderId="0"/>
    <xf numFmtId="0" fontId="2" fillId="0" borderId="0"/>
    <xf numFmtId="164" fontId="6" fillId="0" borderId="0" applyFont="0" applyFill="0" applyBorder="0" applyAlignment="0" applyProtection="0"/>
    <xf numFmtId="0" fontId="6" fillId="0" borderId="0"/>
    <xf numFmtId="0" fontId="23" fillId="0" borderId="0" applyNumberFormat="0" applyFill="0" applyBorder="0" applyAlignment="0" applyProtection="0"/>
    <xf numFmtId="0" fontId="1" fillId="0" borderId="0"/>
    <xf numFmtId="44" fontId="1" fillId="0" borderId="0" applyFont="0" applyFill="0" applyBorder="0" applyAlignment="0" applyProtection="0"/>
    <xf numFmtId="0" fontId="29" fillId="0" borderId="0"/>
    <xf numFmtId="43" fontId="31" fillId="0" borderId="0" applyFont="0" applyFill="0" applyBorder="0" applyAlignment="0" applyProtection="0"/>
  </cellStyleXfs>
  <cellXfs count="293">
    <xf numFmtId="0" fontId="0" fillId="0" borderId="0" xfId="0"/>
    <xf numFmtId="0" fontId="20" fillId="0" borderId="0" xfId="20" applyFont="1"/>
    <xf numFmtId="0" fontId="20" fillId="0" borderId="0" xfId="20" applyFont="1" applyAlignment="1">
      <alignment vertical="center"/>
    </xf>
    <xf numFmtId="165" fontId="20" fillId="0" borderId="0" xfId="20" applyNumberFormat="1" applyFont="1" applyAlignment="1">
      <alignment vertical="center"/>
    </xf>
    <xf numFmtId="0" fontId="21" fillId="0" borderId="1" xfId="20" applyFont="1" applyBorder="1" applyAlignment="1">
      <alignment horizontal="center" vertical="center"/>
    </xf>
    <xf numFmtId="42" fontId="21" fillId="0" borderId="1" xfId="22" applyNumberFormat="1" applyFont="1" applyFill="1" applyBorder="1" applyAlignment="1">
      <alignment horizontal="center" vertical="center"/>
    </xf>
    <xf numFmtId="165" fontId="21" fillId="0" borderId="1" xfId="22" applyNumberFormat="1" applyFont="1" applyFill="1" applyBorder="1" applyAlignment="1">
      <alignment horizontal="center" vertical="center"/>
    </xf>
    <xf numFmtId="165" fontId="21" fillId="0" borderId="13" xfId="22" applyNumberFormat="1" applyFont="1" applyFill="1" applyBorder="1" applyAlignment="1">
      <alignment horizontal="center" vertical="center"/>
    </xf>
    <xf numFmtId="165" fontId="21" fillId="0" borderId="1" xfId="22" applyNumberFormat="1" applyFont="1" applyBorder="1" applyAlignment="1">
      <alignment horizontal="center" vertical="center"/>
    </xf>
    <xf numFmtId="0" fontId="21" fillId="0" borderId="0" xfId="20" applyFont="1"/>
    <xf numFmtId="42" fontId="24" fillId="5" borderId="0" xfId="20" applyNumberFormat="1" applyFont="1" applyFill="1" applyAlignment="1">
      <alignment horizontal="center" vertical="center" wrapText="1"/>
    </xf>
    <xf numFmtId="0" fontId="24" fillId="5" borderId="1" xfId="20" applyFont="1" applyFill="1" applyBorder="1" applyAlignment="1">
      <alignment horizontal="left" vertical="center" wrapText="1"/>
    </xf>
    <xf numFmtId="10" fontId="24" fillId="5" borderId="1" xfId="20" applyNumberFormat="1" applyFont="1" applyFill="1" applyBorder="1" applyAlignment="1">
      <alignment horizontal="left" vertical="center" wrapText="1"/>
    </xf>
    <xf numFmtId="42" fontId="20" fillId="0" borderId="0" xfId="20" applyNumberFormat="1" applyFont="1"/>
    <xf numFmtId="42" fontId="20" fillId="5" borderId="0" xfId="20" applyNumberFormat="1" applyFont="1" applyFill="1"/>
    <xf numFmtId="165" fontId="20" fillId="0" borderId="0" xfId="1" applyNumberFormat="1" applyFont="1"/>
    <xf numFmtId="0" fontId="24" fillId="5" borderId="1" xfId="20" applyFont="1" applyFill="1" applyBorder="1" applyAlignment="1">
      <alignment horizontal="right" vertical="center" wrapText="1"/>
    </xf>
    <xf numFmtId="1" fontId="20" fillId="5" borderId="1" xfId="20" applyNumberFormat="1" applyFont="1" applyFill="1" applyBorder="1" applyAlignment="1">
      <alignment horizontal="right" vertical="center"/>
    </xf>
    <xf numFmtId="0" fontId="20" fillId="0" borderId="0" xfId="20" applyFont="1" applyAlignment="1">
      <alignment wrapText="1"/>
    </xf>
    <xf numFmtId="0" fontId="20" fillId="0" borderId="0" xfId="20" applyFont="1" applyAlignment="1">
      <alignment horizontal="center"/>
    </xf>
    <xf numFmtId="0" fontId="20" fillId="0" borderId="8" xfId="20" applyFont="1" applyBorder="1" applyAlignment="1">
      <alignment horizontal="center" vertical="center" wrapText="1"/>
    </xf>
    <xf numFmtId="42" fontId="20" fillId="0" borderId="8" xfId="22" applyNumberFormat="1" applyFont="1" applyBorder="1" applyAlignment="1">
      <alignment horizontal="center" vertical="center" wrapText="1"/>
    </xf>
    <xf numFmtId="42" fontId="20" fillId="0" borderId="8" xfId="20" applyNumberFormat="1" applyFont="1" applyBorder="1" applyAlignment="1">
      <alignment horizontal="center" vertical="center" wrapText="1"/>
    </xf>
    <xf numFmtId="42" fontId="20" fillId="0" borderId="8" xfId="20" applyNumberFormat="1" applyFont="1" applyBorder="1" applyAlignment="1">
      <alignment horizontal="center"/>
    </xf>
    <xf numFmtId="0" fontId="20" fillId="0" borderId="8" xfId="20" applyFont="1" applyBorder="1" applyAlignment="1">
      <alignment horizontal="center"/>
    </xf>
    <xf numFmtId="42" fontId="24" fillId="0" borderId="0" xfId="20" applyNumberFormat="1" applyFont="1" applyAlignment="1">
      <alignment horizontal="center" vertical="center" wrapText="1"/>
    </xf>
    <xf numFmtId="0" fontId="20" fillId="5" borderId="0" xfId="20" applyFont="1" applyFill="1" applyAlignment="1">
      <alignment vertical="center"/>
    </xf>
    <xf numFmtId="42" fontId="20" fillId="0" borderId="0" xfId="20" applyNumberFormat="1" applyFont="1" applyAlignment="1">
      <alignment vertical="center"/>
    </xf>
    <xf numFmtId="42" fontId="20" fillId="5" borderId="0" xfId="20" applyNumberFormat="1" applyFont="1" applyFill="1" applyAlignment="1">
      <alignment vertical="center"/>
    </xf>
    <xf numFmtId="165" fontId="20" fillId="0" borderId="0" xfId="1" applyNumberFormat="1" applyFont="1" applyAlignment="1">
      <alignment vertical="center"/>
    </xf>
    <xf numFmtId="165" fontId="21" fillId="5" borderId="0" xfId="22" applyNumberFormat="1" applyFont="1" applyFill="1" applyBorder="1" applyAlignment="1">
      <alignment vertical="center"/>
    </xf>
    <xf numFmtId="0" fontId="24" fillId="5" borderId="1" xfId="20" applyFont="1" applyFill="1" applyBorder="1" applyAlignment="1">
      <alignment horizontal="right" vertical="center"/>
    </xf>
    <xf numFmtId="0" fontId="20" fillId="5" borderId="0" xfId="20" applyFont="1" applyFill="1"/>
    <xf numFmtId="0" fontId="20" fillId="7" borderId="0" xfId="20" applyFont="1" applyFill="1" applyAlignment="1">
      <alignment horizontal="center"/>
    </xf>
    <xf numFmtId="0" fontId="24" fillId="6" borderId="0" xfId="20" applyFont="1" applyFill="1" applyAlignment="1">
      <alignment horizontal="center"/>
    </xf>
    <xf numFmtId="0" fontId="24" fillId="0" borderId="0" xfId="20" applyFont="1" applyAlignment="1">
      <alignment horizontal="center"/>
    </xf>
    <xf numFmtId="0" fontId="20" fillId="5" borderId="0" xfId="20" applyFont="1" applyFill="1" applyAlignment="1">
      <alignment horizontal="center"/>
    </xf>
    <xf numFmtId="10" fontId="20" fillId="5" borderId="0" xfId="20" applyNumberFormat="1" applyFont="1" applyFill="1" applyAlignment="1">
      <alignment horizontal="center"/>
    </xf>
    <xf numFmtId="0" fontId="24" fillId="0" borderId="13" xfId="20" applyFont="1" applyBorder="1" applyAlignment="1">
      <alignment horizontal="center" vertical="center"/>
    </xf>
    <xf numFmtId="0" fontId="24" fillId="0" borderId="0" xfId="20" applyFont="1" applyAlignment="1">
      <alignment horizontal="center" vertical="center"/>
    </xf>
    <xf numFmtId="42" fontId="19" fillId="2" borderId="1" xfId="20" applyNumberFormat="1" applyFont="1" applyFill="1" applyBorder="1" applyAlignment="1">
      <alignment horizontal="center" vertical="center" wrapText="1"/>
    </xf>
    <xf numFmtId="0" fontId="24" fillId="3" borderId="1" xfId="20" applyFont="1" applyFill="1" applyBorder="1" applyAlignment="1">
      <alignment horizontal="center" vertical="center" wrapText="1"/>
    </xf>
    <xf numFmtId="0" fontId="24" fillId="0" borderId="13" xfId="20" applyFont="1" applyBorder="1" applyAlignment="1">
      <alignment horizontal="center" vertical="center" wrapText="1"/>
    </xf>
    <xf numFmtId="0" fontId="24" fillId="0" borderId="0" xfId="20" applyFont="1" applyAlignment="1">
      <alignment horizontal="center" vertical="center" wrapText="1"/>
    </xf>
    <xf numFmtId="42" fontId="20" fillId="0" borderId="0" xfId="20" applyNumberFormat="1" applyFont="1" applyAlignment="1">
      <alignment wrapText="1"/>
    </xf>
    <xf numFmtId="42" fontId="21" fillId="0" borderId="1" xfId="20" applyNumberFormat="1" applyFont="1" applyBorder="1" applyAlignment="1">
      <alignment vertical="center"/>
    </xf>
    <xf numFmtId="42" fontId="21" fillId="5" borderId="0" xfId="20" applyNumberFormat="1" applyFont="1" applyFill="1" applyAlignment="1">
      <alignment vertical="center"/>
    </xf>
    <xf numFmtId="10" fontId="21" fillId="0" borderId="1" xfId="14" applyNumberFormat="1" applyFont="1" applyFill="1" applyBorder="1" applyAlignment="1">
      <alignment vertical="center"/>
    </xf>
    <xf numFmtId="165" fontId="21" fillId="0" borderId="1" xfId="22" applyNumberFormat="1" applyFont="1" applyFill="1" applyBorder="1" applyAlignment="1">
      <alignment vertical="center"/>
    </xf>
    <xf numFmtId="1" fontId="21" fillId="0" borderId="0" xfId="20" applyNumberFormat="1" applyFont="1" applyAlignment="1">
      <alignment vertical="center"/>
    </xf>
    <xf numFmtId="1" fontId="21" fillId="0" borderId="13" xfId="22" applyNumberFormat="1" applyFont="1" applyFill="1" applyBorder="1" applyAlignment="1">
      <alignment vertical="center"/>
    </xf>
    <xf numFmtId="1" fontId="21" fillId="0" borderId="15" xfId="14" applyNumberFormat="1" applyFont="1" applyFill="1" applyBorder="1" applyAlignment="1">
      <alignment vertical="center"/>
    </xf>
    <xf numFmtId="10" fontId="21" fillId="0" borderId="13" xfId="14" applyNumberFormat="1" applyFont="1" applyFill="1" applyBorder="1" applyAlignment="1">
      <alignment vertical="center"/>
    </xf>
    <xf numFmtId="165" fontId="21" fillId="0" borderId="1" xfId="14" applyNumberFormat="1" applyFont="1" applyFill="1" applyBorder="1" applyAlignment="1">
      <alignment vertical="center"/>
    </xf>
    <xf numFmtId="10" fontId="21" fillId="0" borderId="0" xfId="14" applyNumberFormat="1" applyFont="1" applyFill="1" applyBorder="1" applyAlignment="1">
      <alignment vertical="center"/>
    </xf>
    <xf numFmtId="0" fontId="21" fillId="0" borderId="0" xfId="20" applyFont="1" applyAlignment="1">
      <alignment vertical="center"/>
    </xf>
    <xf numFmtId="42" fontId="21" fillId="0" borderId="0" xfId="20" applyNumberFormat="1" applyFont="1" applyAlignment="1">
      <alignment vertical="center"/>
    </xf>
    <xf numFmtId="165" fontId="21" fillId="5" borderId="13" xfId="22" applyNumberFormat="1" applyFont="1" applyFill="1" applyBorder="1" applyAlignment="1">
      <alignment vertical="center"/>
    </xf>
    <xf numFmtId="1" fontId="21" fillId="5" borderId="15" xfId="14" applyNumberFormat="1" applyFont="1" applyFill="1" applyBorder="1" applyAlignment="1">
      <alignment vertical="center"/>
    </xf>
    <xf numFmtId="0" fontId="14" fillId="0" borderId="0" xfId="20" applyFont="1" applyAlignment="1">
      <alignment vertical="center"/>
    </xf>
    <xf numFmtId="0" fontId="17" fillId="0" borderId="0" xfId="20" applyFont="1" applyAlignment="1">
      <alignment vertical="center"/>
    </xf>
    <xf numFmtId="1" fontId="21" fillId="0" borderId="13" xfId="14" applyNumberFormat="1" applyFont="1" applyFill="1" applyBorder="1" applyAlignment="1">
      <alignment vertical="center"/>
    </xf>
    <xf numFmtId="42" fontId="24" fillId="5" borderId="4" xfId="22" applyNumberFormat="1" applyFont="1" applyFill="1" applyBorder="1" applyAlignment="1">
      <alignment horizontal="center" vertical="center" wrapText="1"/>
    </xf>
    <xf numFmtId="42" fontId="24" fillId="5" borderId="4" xfId="20" applyNumberFormat="1" applyFont="1" applyFill="1" applyBorder="1" applyAlignment="1">
      <alignment horizontal="center" vertical="center" wrapText="1"/>
    </xf>
    <xf numFmtId="42" fontId="24" fillId="5" borderId="6" xfId="20" applyNumberFormat="1" applyFont="1" applyFill="1" applyBorder="1" applyAlignment="1">
      <alignment horizontal="center" vertical="center" wrapText="1"/>
    </xf>
    <xf numFmtId="42" fontId="24" fillId="5" borderId="6" xfId="22" applyNumberFormat="1" applyFont="1" applyFill="1" applyBorder="1" applyAlignment="1">
      <alignment horizontal="center" vertical="center"/>
    </xf>
    <xf numFmtId="166" fontId="24" fillId="5" borderId="6" xfId="22" applyNumberFormat="1" applyFont="1" applyFill="1" applyBorder="1" applyAlignment="1">
      <alignment horizontal="center" vertical="center"/>
    </xf>
    <xf numFmtId="42" fontId="24" fillId="5" borderId="4" xfId="22" applyNumberFormat="1" applyFont="1" applyFill="1" applyBorder="1" applyAlignment="1">
      <alignment horizontal="center" vertical="center"/>
    </xf>
    <xf numFmtId="42" fontId="24" fillId="5" borderId="0" xfId="22" applyNumberFormat="1" applyFont="1" applyFill="1" applyBorder="1" applyAlignment="1">
      <alignment horizontal="center" vertical="center"/>
    </xf>
    <xf numFmtId="10" fontId="20" fillId="0" borderId="0" xfId="20" applyNumberFormat="1" applyFont="1" applyAlignment="1">
      <alignment vertical="center"/>
    </xf>
    <xf numFmtId="10" fontId="20" fillId="0" borderId="0" xfId="20" applyNumberFormat="1" applyFont="1"/>
    <xf numFmtId="0" fontId="24" fillId="0" borderId="0" xfId="20" applyFont="1"/>
    <xf numFmtId="42" fontId="24" fillId="0" borderId="0" xfId="22" applyNumberFormat="1" applyFont="1"/>
    <xf numFmtId="42" fontId="24" fillId="0" borderId="0" xfId="20" applyNumberFormat="1" applyFont="1"/>
    <xf numFmtId="0" fontId="22" fillId="0" borderId="0" xfId="20" applyFont="1" applyAlignment="1">
      <alignment horizontal="right"/>
    </xf>
    <xf numFmtId="0" fontId="22" fillId="0" borderId="0" xfId="20" applyFont="1"/>
    <xf numFmtId="42" fontId="22" fillId="0" borderId="0" xfId="20" applyNumberFormat="1" applyFont="1"/>
    <xf numFmtId="42" fontId="22" fillId="0" borderId="0" xfId="20" applyNumberFormat="1" applyFont="1" applyAlignment="1">
      <alignment vertical="center"/>
    </xf>
    <xf numFmtId="42" fontId="22" fillId="5" borderId="0" xfId="20" applyNumberFormat="1" applyFont="1" applyFill="1" applyAlignment="1">
      <alignment vertical="center"/>
    </xf>
    <xf numFmtId="10" fontId="21" fillId="0" borderId="0" xfId="20" applyNumberFormat="1" applyFont="1"/>
    <xf numFmtId="42" fontId="21" fillId="0" borderId="0" xfId="20" applyNumberFormat="1" applyFont="1"/>
    <xf numFmtId="42" fontId="21" fillId="5" borderId="0" xfId="20" applyNumberFormat="1" applyFont="1" applyFill="1"/>
    <xf numFmtId="0" fontId="21" fillId="5" borderId="0" xfId="20" applyFont="1" applyFill="1"/>
    <xf numFmtId="167" fontId="20" fillId="0" borderId="0" xfId="20" applyNumberFormat="1" applyFont="1" applyAlignment="1">
      <alignment horizontal="left" wrapText="1"/>
    </xf>
    <xf numFmtId="42" fontId="21" fillId="0" borderId="0" xfId="20" applyNumberFormat="1" applyFont="1" applyAlignment="1">
      <alignment horizontal="left" wrapText="1"/>
    </xf>
    <xf numFmtId="42" fontId="21" fillId="0" borderId="0" xfId="22" applyNumberFormat="1" applyFont="1" applyAlignment="1">
      <alignment horizontal="left" wrapText="1"/>
    </xf>
    <xf numFmtId="42" fontId="20" fillId="0" borderId="0" xfId="22" applyNumberFormat="1" applyFont="1" applyAlignment="1">
      <alignment wrapText="1"/>
    </xf>
    <xf numFmtId="0" fontId="26" fillId="0" borderId="1" xfId="0" applyFont="1" applyBorder="1" applyAlignment="1">
      <alignment vertical="center" wrapText="1"/>
    </xf>
    <xf numFmtId="0" fontId="26" fillId="0" borderId="1" xfId="0" applyFont="1" applyBorder="1" applyAlignment="1">
      <alignment horizontal="center" vertical="center" wrapText="1"/>
    </xf>
    <xf numFmtId="42" fontId="21" fillId="5" borderId="1" xfId="22" applyNumberFormat="1" applyFont="1" applyFill="1" applyBorder="1" applyAlignment="1">
      <alignment horizontal="center" vertical="center"/>
    </xf>
    <xf numFmtId="0" fontId="24" fillId="2" borderId="1" xfId="20" applyFont="1" applyFill="1" applyBorder="1" applyAlignment="1">
      <alignment horizontal="center" vertical="center" wrapText="1"/>
    </xf>
    <xf numFmtId="0" fontId="26" fillId="0" borderId="1" xfId="21" applyFont="1" applyBorder="1" applyAlignment="1">
      <alignment horizontal="center"/>
    </xf>
    <xf numFmtId="0" fontId="26" fillId="0" borderId="0" xfId="21" applyFont="1" applyAlignment="1">
      <alignment horizontal="center"/>
    </xf>
    <xf numFmtId="0" fontId="26" fillId="0" borderId="1" xfId="20" applyFont="1" applyBorder="1" applyAlignment="1">
      <alignment horizontal="center" vertical="center"/>
    </xf>
    <xf numFmtId="0" fontId="26" fillId="0" borderId="1" xfId="21" applyFont="1" applyBorder="1" applyAlignment="1">
      <alignment horizontal="center" vertical="center"/>
    </xf>
    <xf numFmtId="0" fontId="28" fillId="0" borderId="0" xfId="20" applyFont="1" applyAlignment="1">
      <alignment horizontal="right"/>
    </xf>
    <xf numFmtId="0" fontId="26" fillId="0" borderId="0" xfId="20" applyFont="1" applyAlignment="1">
      <alignment horizontal="center"/>
    </xf>
    <xf numFmtId="0" fontId="28" fillId="2" borderId="1" xfId="20" applyFont="1" applyFill="1" applyBorder="1" applyAlignment="1">
      <alignment horizontal="center" vertical="center"/>
    </xf>
    <xf numFmtId="0" fontId="26" fillId="0" borderId="0" xfId="20" applyFont="1"/>
    <xf numFmtId="0" fontId="26" fillId="0" borderId="0" xfId="20" applyFont="1" applyAlignment="1">
      <alignment horizontal="left" wrapText="1"/>
    </xf>
    <xf numFmtId="42" fontId="24" fillId="12" borderId="1" xfId="20" applyNumberFormat="1" applyFont="1" applyFill="1" applyBorder="1" applyAlignment="1">
      <alignment horizontal="center" vertical="center" wrapText="1"/>
    </xf>
    <xf numFmtId="0" fontId="24" fillId="5" borderId="0" xfId="20" applyFont="1" applyFill="1" applyAlignment="1">
      <alignment horizontal="center" vertical="center"/>
    </xf>
    <xf numFmtId="0" fontId="24" fillId="5" borderId="0" xfId="20" applyFont="1" applyFill="1" applyAlignment="1">
      <alignment horizontal="center" vertical="center" wrapText="1"/>
    </xf>
    <xf numFmtId="0" fontId="14" fillId="5" borderId="0" xfId="20" applyFont="1" applyFill="1" applyAlignment="1">
      <alignment vertical="center"/>
    </xf>
    <xf numFmtId="0" fontId="24" fillId="6" borderId="1" xfId="20" applyFont="1" applyFill="1" applyBorder="1" applyAlignment="1">
      <alignment horizontal="center" vertical="center" wrapText="1"/>
    </xf>
    <xf numFmtId="10" fontId="24" fillId="5" borderId="0" xfId="20" applyNumberFormat="1" applyFont="1" applyFill="1" applyAlignment="1">
      <alignment horizontal="left" vertical="center" wrapText="1"/>
    </xf>
    <xf numFmtId="1" fontId="20" fillId="5" borderId="0" xfId="20" applyNumberFormat="1" applyFont="1" applyFill="1" applyAlignment="1">
      <alignment horizontal="right" vertical="center"/>
    </xf>
    <xf numFmtId="165" fontId="21" fillId="0" borderId="4" xfId="1" applyNumberFormat="1" applyFont="1" applyFill="1" applyBorder="1" applyAlignment="1">
      <alignment vertical="center"/>
    </xf>
    <xf numFmtId="42" fontId="24" fillId="13" borderId="1" xfId="20" applyNumberFormat="1" applyFont="1" applyFill="1" applyBorder="1" applyAlignment="1">
      <alignment horizontal="center" vertical="center" wrapText="1"/>
    </xf>
    <xf numFmtId="42" fontId="24" fillId="5" borderId="1" xfId="20" applyNumberFormat="1" applyFont="1" applyFill="1" applyBorder="1" applyAlignment="1">
      <alignment horizontal="center" vertical="center" wrapText="1"/>
    </xf>
    <xf numFmtId="0" fontId="24" fillId="5" borderId="0" xfId="20" applyFont="1" applyFill="1" applyAlignment="1">
      <alignment horizontal="center"/>
    </xf>
    <xf numFmtId="0" fontId="24" fillId="5" borderId="13" xfId="20" applyFont="1" applyFill="1" applyBorder="1" applyAlignment="1">
      <alignment horizontal="center" vertical="center"/>
    </xf>
    <xf numFmtId="42" fontId="24" fillId="5" borderId="13" xfId="20" applyNumberFormat="1" applyFont="1" applyFill="1" applyBorder="1" applyAlignment="1">
      <alignment horizontal="center" vertical="center" wrapText="1"/>
    </xf>
    <xf numFmtId="165" fontId="21" fillId="0" borderId="1" xfId="1" applyNumberFormat="1" applyFont="1" applyFill="1" applyBorder="1" applyAlignment="1">
      <alignment vertical="center"/>
    </xf>
    <xf numFmtId="9" fontId="21" fillId="0" borderId="1" xfId="2" applyFont="1" applyFill="1" applyBorder="1" applyAlignment="1">
      <alignment vertical="center"/>
    </xf>
    <xf numFmtId="42" fontId="24" fillId="14" borderId="3" xfId="20" applyNumberFormat="1" applyFont="1" applyFill="1" applyBorder="1" applyAlignment="1">
      <alignment horizontal="center" vertical="center" wrapText="1"/>
    </xf>
    <xf numFmtId="42" fontId="24" fillId="5" borderId="3" xfId="20" applyNumberFormat="1" applyFont="1" applyFill="1" applyBorder="1" applyAlignment="1">
      <alignment horizontal="center" vertical="center" wrapText="1"/>
    </xf>
    <xf numFmtId="165" fontId="21" fillId="5" borderId="13" xfId="22" applyNumberFormat="1" applyFont="1" applyFill="1" applyBorder="1" applyAlignment="1">
      <alignment horizontal="center" vertical="center"/>
    </xf>
    <xf numFmtId="165" fontId="21" fillId="0" borderId="13" xfId="1" applyNumberFormat="1" applyFont="1" applyFill="1" applyBorder="1" applyAlignment="1">
      <alignment horizontal="center" vertical="center"/>
    </xf>
    <xf numFmtId="1" fontId="21" fillId="0" borderId="0" xfId="14" applyNumberFormat="1" applyFont="1" applyFill="1" applyBorder="1" applyAlignment="1">
      <alignment vertical="center"/>
    </xf>
    <xf numFmtId="0" fontId="24" fillId="11" borderId="1" xfId="20" applyFont="1" applyFill="1" applyBorder="1" applyAlignment="1">
      <alignment horizontal="center" vertical="center" wrapText="1"/>
    </xf>
    <xf numFmtId="9" fontId="20" fillId="0" borderId="0" xfId="2" applyFont="1"/>
    <xf numFmtId="9" fontId="24" fillId="11" borderId="1" xfId="2" applyFont="1" applyFill="1" applyBorder="1" applyAlignment="1">
      <alignment horizontal="center" vertical="center" wrapText="1"/>
    </xf>
    <xf numFmtId="9" fontId="20" fillId="5" borderId="0" xfId="2" applyFont="1" applyFill="1" applyAlignment="1">
      <alignment vertical="center"/>
    </xf>
    <xf numFmtId="9" fontId="20" fillId="5" borderId="0" xfId="2" applyFont="1" applyFill="1"/>
    <xf numFmtId="9" fontId="21" fillId="5" borderId="0" xfId="2" applyFont="1" applyFill="1"/>
    <xf numFmtId="10" fontId="21" fillId="0" borderId="1" xfId="2" applyNumberFormat="1" applyFont="1" applyFill="1" applyBorder="1" applyAlignment="1">
      <alignment vertical="center"/>
    </xf>
    <xf numFmtId="10" fontId="21" fillId="13" borderId="1" xfId="2" applyNumberFormat="1" applyFont="1" applyFill="1" applyBorder="1" applyAlignment="1">
      <alignment vertical="center"/>
    </xf>
    <xf numFmtId="165" fontId="21" fillId="13" borderId="1" xfId="20" applyNumberFormat="1" applyFont="1" applyFill="1" applyBorder="1" applyAlignment="1">
      <alignment vertical="center"/>
    </xf>
    <xf numFmtId="1" fontId="30" fillId="10" borderId="13" xfId="22" applyNumberFormat="1" applyFont="1" applyFill="1" applyBorder="1" applyAlignment="1">
      <alignment vertical="center"/>
    </xf>
    <xf numFmtId="165" fontId="24" fillId="0" borderId="0" xfId="1" applyNumberFormat="1" applyFont="1" applyAlignment="1">
      <alignment horizontal="center"/>
    </xf>
    <xf numFmtId="165" fontId="24" fillId="5" borderId="1" xfId="1" applyNumberFormat="1" applyFont="1" applyFill="1" applyBorder="1" applyAlignment="1">
      <alignment horizontal="center" vertical="center" wrapText="1"/>
    </xf>
    <xf numFmtId="165" fontId="21" fillId="0" borderId="13" xfId="1" applyNumberFormat="1" applyFont="1" applyFill="1" applyBorder="1" applyAlignment="1">
      <alignment vertical="center"/>
    </xf>
    <xf numFmtId="165" fontId="21" fillId="0" borderId="0" xfId="1" applyNumberFormat="1" applyFont="1"/>
    <xf numFmtId="165" fontId="21" fillId="15" borderId="1" xfId="1" applyNumberFormat="1" applyFont="1" applyFill="1" applyBorder="1" applyAlignment="1">
      <alignment vertical="center"/>
    </xf>
    <xf numFmtId="9" fontId="21" fillId="15" borderId="1" xfId="2" applyFont="1" applyFill="1" applyBorder="1" applyAlignment="1">
      <alignment vertical="center"/>
    </xf>
    <xf numFmtId="165" fontId="21" fillId="15" borderId="1" xfId="20" applyNumberFormat="1" applyFont="1" applyFill="1" applyBorder="1" applyAlignment="1">
      <alignment vertical="center"/>
    </xf>
    <xf numFmtId="10" fontId="21" fillId="15" borderId="1" xfId="2" applyNumberFormat="1" applyFont="1" applyFill="1" applyBorder="1" applyAlignment="1">
      <alignment vertical="center"/>
    </xf>
    <xf numFmtId="165" fontId="21" fillId="14" borderId="13" xfId="1" applyNumberFormat="1" applyFont="1" applyFill="1" applyBorder="1" applyAlignment="1">
      <alignment horizontal="center" vertical="center"/>
    </xf>
    <xf numFmtId="10" fontId="21" fillId="14" borderId="1" xfId="2" applyNumberFormat="1" applyFont="1" applyFill="1" applyBorder="1" applyAlignment="1">
      <alignment vertical="center"/>
    </xf>
    <xf numFmtId="165" fontId="21" fillId="14" borderId="1" xfId="20" applyNumberFormat="1" applyFont="1" applyFill="1" applyBorder="1" applyAlignment="1">
      <alignment vertical="center"/>
    </xf>
    <xf numFmtId="9" fontId="21" fillId="14" borderId="13" xfId="2" applyFont="1" applyFill="1" applyBorder="1" applyAlignment="1">
      <alignment vertical="center"/>
    </xf>
    <xf numFmtId="165" fontId="24" fillId="8" borderId="1" xfId="20" applyNumberFormat="1" applyFont="1" applyFill="1" applyBorder="1" applyAlignment="1">
      <alignment horizontal="center" vertical="center" wrapText="1"/>
    </xf>
    <xf numFmtId="0" fontId="24" fillId="8" borderId="1" xfId="20" applyFont="1" applyFill="1" applyBorder="1" applyAlignment="1">
      <alignment horizontal="center" vertical="center" wrapText="1"/>
    </xf>
    <xf numFmtId="0" fontId="20" fillId="0" borderId="0" xfId="20" applyFont="1" applyAlignment="1">
      <alignment horizontal="left" vertical="center" wrapText="1"/>
    </xf>
    <xf numFmtId="42" fontId="20" fillId="0" borderId="0" xfId="20" applyNumberFormat="1" applyFont="1" applyAlignment="1">
      <alignment horizontal="center" vertical="center" wrapText="1"/>
    </xf>
    <xf numFmtId="42" fontId="25" fillId="0" borderId="0" xfId="22" applyNumberFormat="1" applyFont="1" applyFill="1" applyBorder="1" applyAlignment="1">
      <alignment horizontal="center" vertical="center"/>
    </xf>
    <xf numFmtId="165" fontId="21" fillId="5" borderId="1" xfId="1" applyNumberFormat="1" applyFont="1" applyFill="1" applyBorder="1" applyAlignment="1">
      <alignment vertical="center"/>
    </xf>
    <xf numFmtId="42" fontId="21" fillId="4" borderId="1" xfId="22" applyNumberFormat="1" applyFont="1" applyFill="1" applyBorder="1" applyAlignment="1">
      <alignment horizontal="center" vertical="center"/>
    </xf>
    <xf numFmtId="42" fontId="21" fillId="4" borderId="2" xfId="22" applyNumberFormat="1" applyFont="1" applyFill="1" applyBorder="1" applyAlignment="1">
      <alignment horizontal="center" vertical="center"/>
    </xf>
    <xf numFmtId="42" fontId="21" fillId="5" borderId="2" xfId="22" applyNumberFormat="1" applyFont="1" applyFill="1" applyBorder="1" applyAlignment="1">
      <alignment horizontal="center" vertical="center"/>
    </xf>
    <xf numFmtId="0" fontId="27" fillId="0" borderId="0" xfId="0" applyFont="1" applyAlignment="1">
      <alignment vertical="top" wrapText="1"/>
    </xf>
    <xf numFmtId="0" fontId="15" fillId="0" borderId="0" xfId="0" applyFont="1" applyAlignment="1">
      <alignment vertical="top" wrapText="1"/>
    </xf>
    <xf numFmtId="0" fontId="20" fillId="0" borderId="0" xfId="20" applyFont="1" applyAlignment="1">
      <alignment horizontal="left" wrapText="1"/>
    </xf>
    <xf numFmtId="0" fontId="24" fillId="5" borderId="4" xfId="20" applyFont="1" applyFill="1" applyBorder="1" applyAlignment="1">
      <alignment horizontal="center" vertical="center" wrapText="1"/>
    </xf>
    <xf numFmtId="1" fontId="21" fillId="2" borderId="13" xfId="22" applyNumberFormat="1" applyFont="1" applyFill="1" applyBorder="1" applyAlignment="1">
      <alignment vertical="center"/>
    </xf>
    <xf numFmtId="165" fontId="21" fillId="2" borderId="1" xfId="1" applyNumberFormat="1" applyFont="1" applyFill="1" applyBorder="1" applyAlignment="1">
      <alignment vertical="center"/>
    </xf>
    <xf numFmtId="9" fontId="21" fillId="2" borderId="1" xfId="2" applyFont="1" applyFill="1" applyBorder="1" applyAlignment="1">
      <alignment vertical="center"/>
    </xf>
    <xf numFmtId="1" fontId="21" fillId="10" borderId="13" xfId="22" applyNumberFormat="1" applyFont="1" applyFill="1" applyBorder="1" applyAlignment="1">
      <alignment vertical="center"/>
    </xf>
    <xf numFmtId="165" fontId="21" fillId="10" borderId="1" xfId="1" applyNumberFormat="1" applyFont="1" applyFill="1" applyBorder="1" applyAlignment="1">
      <alignment vertical="center"/>
    </xf>
    <xf numFmtId="9" fontId="21" fillId="10" borderId="1" xfId="2" applyFont="1" applyFill="1" applyBorder="1" applyAlignment="1">
      <alignment vertical="center"/>
    </xf>
    <xf numFmtId="165" fontId="21" fillId="5" borderId="13" xfId="1" applyNumberFormat="1" applyFont="1" applyFill="1" applyBorder="1" applyAlignment="1">
      <alignment vertical="center"/>
    </xf>
    <xf numFmtId="43" fontId="20" fillId="0" borderId="0" xfId="28" applyFont="1" applyAlignment="1">
      <alignment wrapText="1"/>
    </xf>
    <xf numFmtId="165" fontId="24" fillId="9" borderId="1" xfId="1" applyNumberFormat="1" applyFont="1" applyFill="1" applyBorder="1" applyAlignment="1">
      <alignment horizontal="center" vertical="center" wrapText="1"/>
    </xf>
    <xf numFmtId="165" fontId="21" fillId="17" borderId="1" xfId="1" applyNumberFormat="1" applyFont="1" applyFill="1" applyBorder="1" applyAlignment="1">
      <alignment vertical="center"/>
    </xf>
    <xf numFmtId="42" fontId="22" fillId="10" borderId="1" xfId="22" applyNumberFormat="1" applyFont="1" applyFill="1" applyBorder="1" applyAlignment="1">
      <alignment horizontal="center" vertical="center"/>
    </xf>
    <xf numFmtId="42" fontId="22" fillId="10" borderId="2" xfId="22" applyNumberFormat="1" applyFont="1" applyFill="1" applyBorder="1" applyAlignment="1">
      <alignment horizontal="center" vertical="center"/>
    </xf>
    <xf numFmtId="42" fontId="22" fillId="10" borderId="1" xfId="20" applyNumberFormat="1" applyFont="1" applyFill="1" applyBorder="1" applyAlignment="1">
      <alignment vertical="center"/>
    </xf>
    <xf numFmtId="0" fontId="28" fillId="10" borderId="1" xfId="20" applyFont="1" applyFill="1" applyBorder="1" applyAlignment="1">
      <alignment horizontal="center" vertical="center"/>
    </xf>
    <xf numFmtId="0" fontId="28" fillId="10" borderId="1" xfId="0" applyFont="1" applyFill="1" applyBorder="1" applyAlignment="1">
      <alignment vertical="center" wrapText="1"/>
    </xf>
    <xf numFmtId="0" fontId="22" fillId="10" borderId="1" xfId="20" applyFont="1" applyFill="1" applyBorder="1" applyAlignment="1">
      <alignment horizontal="center" vertical="center"/>
    </xf>
    <xf numFmtId="0" fontId="28" fillId="10" borderId="1" xfId="0" applyFont="1" applyFill="1" applyBorder="1" applyAlignment="1">
      <alignment horizontal="center" vertical="center" wrapText="1"/>
    </xf>
    <xf numFmtId="0" fontId="24" fillId="0" borderId="8" xfId="20" applyFont="1" applyBorder="1" applyAlignment="1">
      <alignment horizontal="center" vertical="center" wrapText="1"/>
    </xf>
    <xf numFmtId="0" fontId="24" fillId="0" borderId="6" xfId="20" applyFont="1" applyBorder="1" applyAlignment="1">
      <alignment horizontal="center" vertical="center" wrapText="1"/>
    </xf>
    <xf numFmtId="165" fontId="21" fillId="0" borderId="0" xfId="22" applyNumberFormat="1" applyFont="1" applyBorder="1" applyAlignment="1">
      <alignment horizontal="center" vertical="center"/>
    </xf>
    <xf numFmtId="165" fontId="21" fillId="4" borderId="13" xfId="22" applyNumberFormat="1" applyFont="1" applyFill="1" applyBorder="1" applyAlignment="1">
      <alignment horizontal="center" vertical="center"/>
    </xf>
    <xf numFmtId="42" fontId="24" fillId="2" borderId="4" xfId="20" applyNumberFormat="1" applyFont="1" applyFill="1" applyBorder="1" applyAlignment="1">
      <alignment vertical="center"/>
    </xf>
    <xf numFmtId="42" fontId="24" fillId="2" borderId="3" xfId="20" applyNumberFormat="1" applyFont="1" applyFill="1" applyBorder="1" applyAlignment="1">
      <alignment vertical="center"/>
    </xf>
    <xf numFmtId="42" fontId="26" fillId="5" borderId="2" xfId="22" applyNumberFormat="1" applyFont="1" applyFill="1" applyBorder="1" applyAlignment="1">
      <alignment horizontal="center" vertical="center"/>
    </xf>
    <xf numFmtId="42" fontId="26" fillId="0" borderId="1" xfId="20" applyNumberFormat="1" applyFont="1" applyBorder="1" applyAlignment="1">
      <alignment vertical="center"/>
    </xf>
    <xf numFmtId="42" fontId="28" fillId="0" borderId="3" xfId="22" applyNumberFormat="1" applyFont="1" applyFill="1" applyBorder="1" applyAlignment="1">
      <alignment horizontal="center" vertical="center"/>
    </xf>
    <xf numFmtId="0" fontId="28" fillId="2" borderId="1" xfId="20" applyFont="1" applyFill="1" applyBorder="1" applyAlignment="1">
      <alignment horizontal="center" vertical="center" wrapText="1"/>
    </xf>
    <xf numFmtId="0" fontId="26" fillId="0" borderId="0" xfId="21" applyFont="1" applyAlignment="1">
      <alignment horizontal="center" vertical="center"/>
    </xf>
    <xf numFmtId="42" fontId="26" fillId="18" borderId="2" xfId="22" applyNumberFormat="1" applyFont="1" applyFill="1" applyBorder="1" applyAlignment="1">
      <alignment horizontal="center" vertical="center"/>
    </xf>
    <xf numFmtId="0" fontId="28" fillId="5" borderId="1" xfId="20" applyFont="1" applyFill="1" applyBorder="1" applyAlignment="1">
      <alignment horizontal="center" vertical="center" wrapText="1"/>
    </xf>
    <xf numFmtId="0" fontId="28" fillId="10" borderId="3" xfId="22" applyNumberFormat="1" applyFont="1" applyFill="1" applyBorder="1" applyAlignment="1">
      <alignment horizontal="center" vertical="center"/>
    </xf>
    <xf numFmtId="0" fontId="26" fillId="4" borderId="1" xfId="0" applyFont="1" applyFill="1" applyBorder="1" applyAlignment="1">
      <alignment horizontal="center" vertical="center" wrapText="1"/>
    </xf>
    <xf numFmtId="168" fontId="21" fillId="0" borderId="0" xfId="20" applyNumberFormat="1" applyFont="1" applyAlignment="1">
      <alignment vertical="center"/>
    </xf>
    <xf numFmtId="0" fontId="35" fillId="2" borderId="1" xfId="20" applyFont="1" applyFill="1" applyBorder="1" applyAlignment="1">
      <alignment horizontal="center" vertical="center"/>
    </xf>
    <xf numFmtId="0" fontId="28" fillId="0" borderId="1" xfId="20" applyFont="1" applyBorder="1" applyAlignment="1">
      <alignment horizontal="center" vertical="center"/>
    </xf>
    <xf numFmtId="0" fontId="14" fillId="5" borderId="2" xfId="20" applyFont="1" applyFill="1" applyBorder="1" applyAlignment="1">
      <alignment horizontal="left" vertical="center" wrapText="1"/>
    </xf>
    <xf numFmtId="0" fontId="34" fillId="5" borderId="4" xfId="20" applyFont="1" applyFill="1" applyBorder="1" applyAlignment="1">
      <alignment horizontal="left" vertical="center" wrapText="1"/>
    </xf>
    <xf numFmtId="0" fontId="34" fillId="5" borderId="3" xfId="20" applyFont="1" applyFill="1" applyBorder="1" applyAlignment="1">
      <alignment horizontal="left" vertical="center" wrapText="1"/>
    </xf>
    <xf numFmtId="42" fontId="28" fillId="2" borderId="1" xfId="20" applyNumberFormat="1" applyFont="1" applyFill="1" applyBorder="1" applyAlignment="1">
      <alignment horizontal="center" vertical="center" wrapText="1"/>
    </xf>
    <xf numFmtId="0" fontId="28" fillId="2" borderId="1" xfId="20" applyFont="1" applyFill="1" applyBorder="1" applyAlignment="1">
      <alignment horizontal="center" vertical="center" wrapText="1"/>
    </xf>
    <xf numFmtId="0" fontId="28" fillId="10" borderId="2" xfId="20" applyFont="1" applyFill="1" applyBorder="1" applyAlignment="1">
      <alignment horizontal="center" vertical="center" wrapText="1"/>
    </xf>
    <xf numFmtId="0" fontId="28" fillId="10" borderId="4" xfId="20" applyFont="1" applyFill="1" applyBorder="1" applyAlignment="1">
      <alignment horizontal="center" vertical="center" wrapText="1"/>
    </xf>
    <xf numFmtId="0" fontId="28" fillId="10" borderId="2" xfId="22" applyNumberFormat="1" applyFont="1" applyFill="1" applyBorder="1" applyAlignment="1">
      <alignment horizontal="center" vertical="center"/>
    </xf>
    <xf numFmtId="0" fontId="28" fillId="10" borderId="4" xfId="22" applyNumberFormat="1" applyFont="1" applyFill="1" applyBorder="1" applyAlignment="1">
      <alignment horizontal="center" vertical="center"/>
    </xf>
    <xf numFmtId="0" fontId="28" fillId="10" borderId="3" xfId="22" applyNumberFormat="1" applyFont="1" applyFill="1" applyBorder="1" applyAlignment="1">
      <alignment horizontal="center" vertical="center"/>
    </xf>
    <xf numFmtId="0" fontId="28" fillId="2" borderId="16" xfId="20" applyFont="1" applyFill="1" applyBorder="1" applyAlignment="1">
      <alignment horizontal="center" vertical="center" wrapText="1"/>
    </xf>
    <xf numFmtId="0" fontId="28" fillId="2" borderId="15" xfId="20" applyFont="1" applyFill="1" applyBorder="1" applyAlignment="1">
      <alignment horizontal="center" vertical="center" wrapText="1"/>
    </xf>
    <xf numFmtId="0" fontId="28" fillId="2" borderId="14" xfId="20" applyFont="1" applyFill="1" applyBorder="1" applyAlignment="1">
      <alignment horizontal="center" vertical="center" wrapText="1"/>
    </xf>
    <xf numFmtId="0" fontId="24" fillId="5" borderId="4" xfId="20" applyFont="1" applyFill="1" applyBorder="1" applyAlignment="1">
      <alignment horizontal="center" vertical="center" wrapText="1"/>
    </xf>
    <xf numFmtId="0" fontId="28" fillId="0" borderId="0" xfId="20" applyFont="1" applyAlignment="1">
      <alignment horizontal="center"/>
    </xf>
    <xf numFmtId="0" fontId="28" fillId="2" borderId="7" xfId="20" applyFont="1" applyFill="1" applyBorder="1" applyAlignment="1">
      <alignment horizontal="center" vertical="center"/>
    </xf>
    <xf numFmtId="0" fontId="28" fillId="2" borderId="8" xfId="20" applyFont="1" applyFill="1" applyBorder="1" applyAlignment="1">
      <alignment horizontal="center" vertical="center"/>
    </xf>
    <xf numFmtId="0" fontId="28" fillId="2" borderId="10" xfId="20" applyFont="1" applyFill="1" applyBorder="1" applyAlignment="1">
      <alignment horizontal="center" vertical="center"/>
    </xf>
    <xf numFmtId="0" fontId="28" fillId="2" borderId="6" xfId="20" applyFont="1" applyFill="1" applyBorder="1" applyAlignment="1">
      <alignment horizontal="center" vertical="center"/>
    </xf>
    <xf numFmtId="42" fontId="24" fillId="0" borderId="1" xfId="20" applyNumberFormat="1" applyFont="1" applyBorder="1" applyAlignment="1">
      <alignment horizontal="center" vertical="center" wrapText="1"/>
    </xf>
    <xf numFmtId="0" fontId="24" fillId="0" borderId="1" xfId="20" applyFont="1" applyBorder="1" applyAlignment="1">
      <alignment horizontal="left" vertical="center" wrapText="1"/>
    </xf>
    <xf numFmtId="0" fontId="20" fillId="0" borderId="1" xfId="20" applyFont="1" applyBorder="1" applyAlignment="1">
      <alignment horizontal="left" vertical="center" wrapText="1"/>
    </xf>
    <xf numFmtId="42" fontId="24" fillId="0" borderId="7" xfId="20" applyNumberFormat="1" applyFont="1" applyBorder="1" applyAlignment="1">
      <alignment horizontal="center" vertical="center" wrapText="1"/>
    </xf>
    <xf numFmtId="42" fontId="24" fillId="0" borderId="9" xfId="20" applyNumberFormat="1" applyFont="1" applyBorder="1" applyAlignment="1">
      <alignment horizontal="center" vertical="center" wrapText="1"/>
    </xf>
    <xf numFmtId="42" fontId="24" fillId="0" borderId="10" xfId="20" applyNumberFormat="1" applyFont="1" applyBorder="1" applyAlignment="1">
      <alignment horizontal="center" vertical="center" wrapText="1"/>
    </xf>
    <xf numFmtId="42" fontId="24" fillId="0" borderId="11" xfId="20" applyNumberFormat="1" applyFont="1" applyBorder="1" applyAlignment="1">
      <alignment horizontal="center" vertical="center" wrapText="1"/>
    </xf>
    <xf numFmtId="165" fontId="24" fillId="0" borderId="1" xfId="22" applyNumberFormat="1" applyFont="1" applyBorder="1" applyAlignment="1">
      <alignment horizontal="center" vertical="center"/>
    </xf>
    <xf numFmtId="0" fontId="26" fillId="0" borderId="1" xfId="20" applyFont="1" applyBorder="1" applyAlignment="1">
      <alignment horizontal="center"/>
    </xf>
    <xf numFmtId="0" fontId="24" fillId="0" borderId="7" xfId="20" applyFont="1" applyBorder="1" applyAlignment="1">
      <alignment horizontal="center" vertical="center" wrapText="1"/>
    </xf>
    <xf numFmtId="0" fontId="24" fillId="0" borderId="8" xfId="20" applyFont="1" applyBorder="1" applyAlignment="1">
      <alignment horizontal="center" vertical="center" wrapText="1"/>
    </xf>
    <xf numFmtId="0" fontId="24" fillId="0" borderId="10" xfId="20" applyFont="1" applyBorder="1" applyAlignment="1">
      <alignment horizontal="center" vertical="center" wrapText="1"/>
    </xf>
    <xf numFmtId="0" fontId="24" fillId="0" borderId="6" xfId="20" applyFont="1" applyBorder="1" applyAlignment="1">
      <alignment horizontal="center" vertical="center" wrapText="1"/>
    </xf>
    <xf numFmtId="42" fontId="25" fillId="0" borderId="2" xfId="22" applyNumberFormat="1" applyFont="1" applyFill="1" applyBorder="1" applyAlignment="1">
      <alignment horizontal="center" vertical="center"/>
    </xf>
    <xf numFmtId="42" fontId="25" fillId="0" borderId="3" xfId="22" applyNumberFormat="1" applyFont="1" applyFill="1" applyBorder="1" applyAlignment="1">
      <alignment horizontal="center" vertical="center"/>
    </xf>
    <xf numFmtId="42" fontId="22" fillId="16" borderId="2" xfId="22" applyNumberFormat="1" applyFont="1" applyFill="1" applyBorder="1" applyAlignment="1">
      <alignment horizontal="center" vertical="center"/>
    </xf>
    <xf numFmtId="42" fontId="22" fillId="16" borderId="4" xfId="22" applyNumberFormat="1" applyFont="1" applyFill="1" applyBorder="1" applyAlignment="1">
      <alignment horizontal="center" vertical="center"/>
    </xf>
    <xf numFmtId="42" fontId="22" fillId="16" borderId="3" xfId="22" applyNumberFormat="1" applyFont="1" applyFill="1" applyBorder="1" applyAlignment="1">
      <alignment horizontal="center" vertical="center"/>
    </xf>
    <xf numFmtId="0" fontId="22" fillId="5" borderId="2" xfId="22" applyNumberFormat="1" applyFont="1" applyFill="1" applyBorder="1" applyAlignment="1">
      <alignment horizontal="center" vertical="center"/>
    </xf>
    <xf numFmtId="0" fontId="22" fillId="5" borderId="4" xfId="22" applyNumberFormat="1" applyFont="1" applyFill="1" applyBorder="1" applyAlignment="1">
      <alignment horizontal="center" vertical="center"/>
    </xf>
    <xf numFmtId="0" fontId="22" fillId="5" borderId="11" xfId="22" applyNumberFormat="1" applyFont="1" applyFill="1" applyBorder="1" applyAlignment="1">
      <alignment horizontal="center" vertical="center"/>
    </xf>
    <xf numFmtId="0" fontId="25" fillId="16" borderId="2" xfId="20" applyFont="1" applyFill="1" applyBorder="1" applyAlignment="1">
      <alignment horizontal="center" vertical="center" wrapText="1"/>
    </xf>
    <xf numFmtId="0" fontId="25" fillId="16" borderId="4" xfId="20" applyFont="1" applyFill="1" applyBorder="1" applyAlignment="1">
      <alignment horizontal="center" vertical="center" wrapText="1"/>
    </xf>
    <xf numFmtId="0" fontId="25" fillId="16" borderId="3" xfId="20" applyFont="1" applyFill="1" applyBorder="1" applyAlignment="1">
      <alignment horizontal="center" vertical="center" wrapText="1"/>
    </xf>
    <xf numFmtId="0" fontId="24" fillId="11" borderId="12" xfId="20" applyFont="1" applyFill="1" applyBorder="1" applyAlignment="1">
      <alignment horizontal="center" vertical="center"/>
    </xf>
    <xf numFmtId="0" fontId="24" fillId="11" borderId="0" xfId="20" applyFont="1" applyFill="1" applyAlignment="1">
      <alignment horizontal="center" vertical="center"/>
    </xf>
    <xf numFmtId="0" fontId="24" fillId="6" borderId="12" xfId="20" applyFont="1" applyFill="1" applyBorder="1" applyAlignment="1">
      <alignment horizontal="center" vertical="center"/>
    </xf>
    <xf numFmtId="0" fontId="24" fillId="6" borderId="0" xfId="20" applyFont="1" applyFill="1" applyAlignment="1">
      <alignment horizontal="center" vertical="center"/>
    </xf>
    <xf numFmtId="0" fontId="24" fillId="2" borderId="7" xfId="20" applyFont="1" applyFill="1" applyBorder="1" applyAlignment="1">
      <alignment horizontal="center" vertical="center"/>
    </xf>
    <xf numFmtId="0" fontId="24" fillId="2" borderId="8" xfId="20" applyFont="1" applyFill="1" applyBorder="1" applyAlignment="1">
      <alignment horizontal="center" vertical="center"/>
    </xf>
    <xf numFmtId="0" fontId="24" fillId="2" borderId="10" xfId="20" applyFont="1" applyFill="1" applyBorder="1" applyAlignment="1">
      <alignment horizontal="center" vertical="center"/>
    </xf>
    <xf numFmtId="0" fontId="24" fillId="2" borderId="6" xfId="20" applyFont="1" applyFill="1" applyBorder="1" applyAlignment="1">
      <alignment horizontal="center" vertical="center"/>
    </xf>
    <xf numFmtId="0" fontId="24" fillId="13" borderId="10" xfId="20" applyFont="1" applyFill="1" applyBorder="1" applyAlignment="1">
      <alignment horizontal="center" vertical="center"/>
    </xf>
    <xf numFmtId="0" fontId="24" fillId="13" borderId="6" xfId="20" applyFont="1" applyFill="1" applyBorder="1" applyAlignment="1">
      <alignment horizontal="center" vertical="center"/>
    </xf>
    <xf numFmtId="0" fontId="24" fillId="13" borderId="11" xfId="20" applyFont="1" applyFill="1" applyBorder="1" applyAlignment="1">
      <alignment horizontal="center" vertical="center"/>
    </xf>
    <xf numFmtId="42" fontId="24" fillId="10" borderId="2" xfId="20" applyNumberFormat="1" applyFont="1" applyFill="1" applyBorder="1" applyAlignment="1">
      <alignment horizontal="center" vertical="center" wrapText="1" shrinkToFit="1"/>
    </xf>
    <xf numFmtId="42" fontId="24" fillId="10" borderId="4" xfId="20" applyNumberFormat="1" applyFont="1" applyFill="1" applyBorder="1" applyAlignment="1">
      <alignment horizontal="center" vertical="center" wrapText="1" shrinkToFit="1"/>
    </xf>
    <xf numFmtId="42" fontId="24" fillId="10" borderId="3" xfId="20" applyNumberFormat="1" applyFont="1" applyFill="1" applyBorder="1" applyAlignment="1">
      <alignment horizontal="center" vertical="center" wrapText="1" shrinkToFit="1"/>
    </xf>
    <xf numFmtId="0" fontId="24" fillId="14" borderId="6" xfId="20" applyFont="1" applyFill="1" applyBorder="1" applyAlignment="1">
      <alignment horizontal="center" vertical="center" wrapText="1"/>
    </xf>
    <xf numFmtId="0" fontId="24" fillId="14" borderId="11" xfId="20" applyFont="1" applyFill="1" applyBorder="1" applyAlignment="1">
      <alignment horizontal="center" vertical="center" wrapText="1"/>
    </xf>
    <xf numFmtId="165" fontId="24" fillId="9" borderId="1" xfId="1" applyNumberFormat="1" applyFont="1" applyFill="1" applyBorder="1" applyAlignment="1">
      <alignment horizontal="center" vertical="center"/>
    </xf>
    <xf numFmtId="0" fontId="24" fillId="12" borderId="2" xfId="20" applyFont="1" applyFill="1" applyBorder="1" applyAlignment="1">
      <alignment horizontal="center" vertical="center"/>
    </xf>
    <xf numFmtId="0" fontId="24" fillId="12" borderId="4" xfId="20" applyFont="1" applyFill="1" applyBorder="1" applyAlignment="1">
      <alignment horizontal="center" vertical="center"/>
    </xf>
    <xf numFmtId="0" fontId="24" fillId="12" borderId="3" xfId="20" applyFont="1" applyFill="1" applyBorder="1" applyAlignment="1">
      <alignment horizontal="center" vertical="center"/>
    </xf>
    <xf numFmtId="42" fontId="24" fillId="2" borderId="1" xfId="20" applyNumberFormat="1" applyFont="1" applyFill="1" applyBorder="1" applyAlignment="1">
      <alignment horizontal="center" vertical="center" wrapText="1"/>
    </xf>
    <xf numFmtId="0" fontId="20" fillId="7" borderId="1" xfId="20" applyFont="1" applyFill="1" applyBorder="1" applyAlignment="1">
      <alignment horizontal="center"/>
    </xf>
    <xf numFmtId="42" fontId="24" fillId="10" borderId="2" xfId="22" applyNumberFormat="1" applyFont="1" applyFill="1" applyBorder="1" applyAlignment="1">
      <alignment horizontal="center" vertical="center" wrapText="1"/>
    </xf>
    <xf numFmtId="42" fontId="24" fillId="10" borderId="4" xfId="22" applyNumberFormat="1" applyFont="1" applyFill="1" applyBorder="1" applyAlignment="1">
      <alignment horizontal="center" vertical="center" wrapText="1"/>
    </xf>
    <xf numFmtId="42" fontId="24" fillId="10" borderId="3" xfId="22" applyNumberFormat="1" applyFont="1" applyFill="1" applyBorder="1" applyAlignment="1">
      <alignment horizontal="center" vertical="center" wrapText="1"/>
    </xf>
    <xf numFmtId="0" fontId="24" fillId="3" borderId="14" xfId="20" applyFont="1" applyFill="1" applyBorder="1" applyAlignment="1">
      <alignment horizontal="center" vertical="center"/>
    </xf>
    <xf numFmtId="42" fontId="24" fillId="2" borderId="1" xfId="20" applyNumberFormat="1" applyFont="1" applyFill="1" applyBorder="1" applyAlignment="1">
      <alignment horizontal="center" vertical="center"/>
    </xf>
    <xf numFmtId="0" fontId="24" fillId="2" borderId="1" xfId="20" applyFont="1" applyFill="1" applyBorder="1" applyAlignment="1">
      <alignment horizontal="center" vertical="center" wrapText="1"/>
    </xf>
    <xf numFmtId="0" fontId="24" fillId="0" borderId="2" xfId="20" applyFont="1" applyBorder="1" applyAlignment="1">
      <alignment horizontal="center" vertical="center"/>
    </xf>
    <xf numFmtId="0" fontId="24" fillId="0" borderId="4" xfId="20" applyFont="1" applyBorder="1" applyAlignment="1">
      <alignment horizontal="center" vertical="center"/>
    </xf>
    <xf numFmtId="0" fontId="24" fillId="0" borderId="3" xfId="20" applyFont="1" applyBorder="1" applyAlignment="1">
      <alignment horizontal="center" vertical="center"/>
    </xf>
    <xf numFmtId="0" fontId="20" fillId="0" borderId="2" xfId="20" applyFont="1" applyBorder="1" applyAlignment="1">
      <alignment horizontal="center" vertical="center"/>
    </xf>
    <xf numFmtId="0" fontId="20" fillId="0" borderId="4" xfId="20" applyFont="1" applyBorder="1" applyAlignment="1">
      <alignment horizontal="center" vertical="center"/>
    </xf>
    <xf numFmtId="0" fontId="20" fillId="0" borderId="3" xfId="20" applyFont="1" applyBorder="1" applyAlignment="1">
      <alignment horizontal="center" vertical="center"/>
    </xf>
    <xf numFmtId="42" fontId="24" fillId="2" borderId="2" xfId="20" applyNumberFormat="1" applyFont="1" applyFill="1" applyBorder="1" applyAlignment="1">
      <alignment horizontal="center" vertical="center"/>
    </xf>
    <xf numFmtId="42" fontId="24" fillId="2" borderId="4" xfId="20" applyNumberFormat="1" applyFont="1" applyFill="1" applyBorder="1" applyAlignment="1">
      <alignment horizontal="center" vertical="center"/>
    </xf>
    <xf numFmtId="42" fontId="20" fillId="0" borderId="2" xfId="20" applyNumberFormat="1" applyFont="1" applyBorder="1" applyAlignment="1">
      <alignment horizontal="center" vertical="center" wrapText="1"/>
    </xf>
    <xf numFmtId="42" fontId="20" fillId="0" borderId="4" xfId="20" applyNumberFormat="1" applyFont="1" applyBorder="1" applyAlignment="1">
      <alignment horizontal="center" vertical="center" wrapText="1"/>
    </xf>
    <xf numFmtId="42" fontId="20" fillId="0" borderId="3" xfId="20" applyNumberFormat="1" applyFont="1" applyBorder="1" applyAlignment="1">
      <alignment horizontal="center" vertical="center" wrapText="1"/>
    </xf>
    <xf numFmtId="0" fontId="24" fillId="0" borderId="2" xfId="20" applyFont="1" applyBorder="1" applyAlignment="1">
      <alignment horizontal="left" vertical="center"/>
    </xf>
    <xf numFmtId="0" fontId="24" fillId="0" borderId="4" xfId="20" applyFont="1" applyBorder="1" applyAlignment="1">
      <alignment horizontal="left" vertical="center"/>
    </xf>
    <xf numFmtId="0" fontId="28" fillId="0" borderId="2" xfId="20" applyFont="1" applyBorder="1" applyAlignment="1">
      <alignment horizontal="left" vertical="center"/>
    </xf>
    <xf numFmtId="0" fontId="28" fillId="0" borderId="4" xfId="20" applyFont="1" applyBorder="1" applyAlignment="1">
      <alignment horizontal="left" vertical="center"/>
    </xf>
    <xf numFmtId="0" fontId="20" fillId="0" borderId="2" xfId="20" applyFont="1" applyBorder="1" applyAlignment="1">
      <alignment horizontal="center" vertical="center" wrapText="1"/>
    </xf>
    <xf numFmtId="0" fontId="20" fillId="0" borderId="4" xfId="20" applyFont="1" applyBorder="1" applyAlignment="1">
      <alignment horizontal="center" vertical="center" wrapText="1"/>
    </xf>
    <xf numFmtId="0" fontId="20" fillId="0" borderId="3" xfId="20" applyFont="1" applyBorder="1" applyAlignment="1">
      <alignment horizontal="center" vertical="center" wrapText="1"/>
    </xf>
    <xf numFmtId="0" fontId="20" fillId="0" borderId="0" xfId="20" applyFont="1" applyAlignment="1">
      <alignment horizontal="left"/>
    </xf>
    <xf numFmtId="0" fontId="26" fillId="0" borderId="7" xfId="20" applyFont="1" applyBorder="1" applyAlignment="1">
      <alignment horizontal="left" vertical="center" wrapText="1"/>
    </xf>
    <xf numFmtId="0" fontId="26" fillId="0" borderId="8" xfId="20" applyFont="1" applyBorder="1" applyAlignment="1">
      <alignment horizontal="left" vertical="center" wrapText="1"/>
    </xf>
    <xf numFmtId="0" fontId="26" fillId="0" borderId="9" xfId="20" applyFont="1" applyBorder="1" applyAlignment="1">
      <alignment horizontal="left" vertical="center" wrapText="1"/>
    </xf>
    <xf numFmtId="0" fontId="32" fillId="0" borderId="12" xfId="0" applyFont="1" applyBorder="1" applyAlignment="1">
      <alignment horizontal="left" vertical="top" wrapText="1"/>
    </xf>
    <xf numFmtId="0" fontId="32" fillId="0" borderId="0" xfId="0" applyFont="1" applyAlignment="1">
      <alignment horizontal="left" vertical="top" wrapText="1"/>
    </xf>
    <xf numFmtId="0" fontId="32" fillId="0" borderId="13" xfId="0" applyFont="1" applyBorder="1" applyAlignment="1">
      <alignment horizontal="left" vertical="top" wrapText="1"/>
    </xf>
    <xf numFmtId="0" fontId="26" fillId="0" borderId="10" xfId="20" applyFont="1" applyBorder="1" applyAlignment="1">
      <alignment horizontal="left" vertical="center"/>
    </xf>
    <xf numFmtId="0" fontId="26" fillId="0" borderId="6" xfId="20" applyFont="1" applyBorder="1" applyAlignment="1">
      <alignment horizontal="left" vertical="center"/>
    </xf>
    <xf numFmtId="0" fontId="26" fillId="0" borderId="11" xfId="20" applyFont="1" applyBorder="1" applyAlignment="1">
      <alignment horizontal="left" vertical="center"/>
    </xf>
    <xf numFmtId="0" fontId="20" fillId="0" borderId="0" xfId="20" applyFont="1" applyAlignment="1">
      <alignment horizontal="left" wrapText="1"/>
    </xf>
    <xf numFmtId="42" fontId="21" fillId="0" borderId="0" xfId="20" applyNumberFormat="1" applyFont="1" applyAlignment="1">
      <alignment horizontal="center" vertical="center"/>
    </xf>
    <xf numFmtId="0" fontId="27" fillId="0" borderId="0" xfId="0" applyFont="1" applyAlignment="1">
      <alignment horizontal="center"/>
    </xf>
    <xf numFmtId="42" fontId="22" fillId="0" borderId="5" xfId="20" applyNumberFormat="1" applyFont="1" applyBorder="1" applyAlignment="1">
      <alignment horizontal="center" vertical="center"/>
    </xf>
  </cellXfs>
  <cellStyles count="29">
    <cellStyle name="Hipervínculo 2" xfId="24" xr:uid="{00000000-0005-0000-0000-000001000000}"/>
    <cellStyle name="Millares" xfId="28" builtinId="3"/>
    <cellStyle name="Millares 2" xfId="12" xr:uid="{00000000-0005-0000-0000-000003000000}"/>
    <cellStyle name="Moneda" xfId="1" builtinId="4"/>
    <cellStyle name="Moneda 2" xfId="7" xr:uid="{00000000-0005-0000-0000-000005000000}"/>
    <cellStyle name="Moneda 2 2" xfId="16" xr:uid="{00000000-0005-0000-0000-000006000000}"/>
    <cellStyle name="Moneda 2 3" xfId="19" xr:uid="{00000000-0005-0000-0000-000007000000}"/>
    <cellStyle name="Moneda 2 4" xfId="22" xr:uid="{00000000-0005-0000-0000-000008000000}"/>
    <cellStyle name="Moneda 3" xfId="10" xr:uid="{00000000-0005-0000-0000-000009000000}"/>
    <cellStyle name="Moneda 3 2" xfId="17" xr:uid="{00000000-0005-0000-0000-00000A000000}"/>
    <cellStyle name="Moneda 4" xfId="13" xr:uid="{00000000-0005-0000-0000-00000B000000}"/>
    <cellStyle name="Moneda 5" xfId="26" xr:uid="{00000000-0005-0000-0000-00000C000000}"/>
    <cellStyle name="Normal" xfId="0" builtinId="0"/>
    <cellStyle name="Normal 19" xfId="6" xr:uid="{00000000-0005-0000-0000-00000E000000}"/>
    <cellStyle name="Normal 2" xfId="5" xr:uid="{00000000-0005-0000-0000-00000F000000}"/>
    <cellStyle name="Normal 2 2" xfId="11" xr:uid="{00000000-0005-0000-0000-000010000000}"/>
    <cellStyle name="Normal 2 3" xfId="15" xr:uid="{00000000-0005-0000-0000-000011000000}"/>
    <cellStyle name="Normal 2 4" xfId="20" xr:uid="{00000000-0005-0000-0000-000012000000}"/>
    <cellStyle name="Normal 2 4 2" xfId="23" xr:uid="{00000000-0005-0000-0000-000013000000}"/>
    <cellStyle name="Normal 3" xfId="8" xr:uid="{00000000-0005-0000-0000-000014000000}"/>
    <cellStyle name="Normal 4" xfId="3" xr:uid="{00000000-0005-0000-0000-000015000000}"/>
    <cellStyle name="Normal 5" xfId="4" xr:uid="{00000000-0005-0000-0000-000016000000}"/>
    <cellStyle name="Normal 6" xfId="9" xr:uid="{00000000-0005-0000-0000-000017000000}"/>
    <cellStyle name="Normal 6 2" xfId="18" xr:uid="{00000000-0005-0000-0000-000018000000}"/>
    <cellStyle name="Normal 7" xfId="21" xr:uid="{00000000-0005-0000-0000-000019000000}"/>
    <cellStyle name="Normal 8" xfId="25" xr:uid="{00000000-0005-0000-0000-00001A000000}"/>
    <cellStyle name="Normal 9" xfId="27" xr:uid="{00000000-0005-0000-0000-00001B000000}"/>
    <cellStyle name="Porcentaje" xfId="2" builtinId="5"/>
    <cellStyle name="Porcentaje 2" xfId="14" xr:uid="{00000000-0005-0000-0000-00001D000000}"/>
  </cellStyles>
  <dxfs count="34">
    <dxf>
      <fill>
        <patternFill>
          <bgColor theme="3" tint="0.79998168889431442"/>
        </patternFill>
      </fill>
    </dxf>
    <dxf>
      <fill>
        <patternFill>
          <bgColor rgb="FFC00000"/>
        </patternFill>
      </fill>
    </dxf>
    <dxf>
      <fill>
        <patternFill>
          <bgColor theme="3" tint="0.79998168889431442"/>
        </patternFill>
      </fill>
    </dxf>
    <dxf>
      <fill>
        <patternFill>
          <bgColor theme="3" tint="0.59996337778862885"/>
        </patternFill>
      </fill>
    </dxf>
    <dxf>
      <fill>
        <patternFill>
          <bgColor theme="3" tint="0.79998168889431442"/>
        </patternFill>
      </fill>
    </dxf>
    <dxf>
      <fill>
        <patternFill>
          <bgColor theme="5" tint="0.39994506668294322"/>
        </patternFill>
      </fill>
    </dxf>
    <dxf>
      <fill>
        <patternFill>
          <bgColor theme="3" tint="0.79998168889431442"/>
        </patternFill>
      </fill>
    </dxf>
    <dxf>
      <fill>
        <patternFill>
          <bgColor theme="9" tint="0.59996337778862885"/>
        </patternFill>
      </fill>
    </dxf>
    <dxf>
      <fill>
        <patternFill>
          <bgColor theme="5" tint="0.79998168889431442"/>
        </patternFill>
      </fill>
    </dxf>
    <dxf>
      <fill>
        <patternFill>
          <bgColor theme="9" tint="0.59996337778862885"/>
        </patternFill>
      </fill>
    </dxf>
    <dxf>
      <fill>
        <patternFill>
          <bgColor theme="5" tint="0.79998168889431442"/>
        </patternFill>
      </fill>
    </dxf>
    <dxf>
      <fill>
        <patternFill>
          <bgColor theme="5" tint="0.39994506668294322"/>
        </patternFill>
      </fill>
    </dxf>
    <dxf>
      <fill>
        <patternFill>
          <bgColor theme="3" tint="0.79998168889431442"/>
        </patternFill>
      </fill>
    </dxf>
    <dxf>
      <fill>
        <patternFill>
          <bgColor theme="8" tint="0.79998168889431442"/>
        </patternFill>
      </fill>
    </dxf>
    <dxf>
      <fill>
        <patternFill>
          <bgColor rgb="FFC00000"/>
        </patternFill>
      </fill>
    </dxf>
    <dxf>
      <fill>
        <patternFill>
          <bgColor theme="5" tint="0.79998168889431442"/>
        </patternFill>
      </fill>
    </dxf>
    <dxf>
      <fill>
        <patternFill>
          <bgColor rgb="FFC00000"/>
        </patternFill>
      </fill>
    </dxf>
    <dxf>
      <fill>
        <patternFill>
          <bgColor theme="0" tint="-0.14996795556505021"/>
        </patternFill>
      </fill>
    </dxf>
    <dxf>
      <fill>
        <patternFill>
          <bgColor rgb="FFFFFFCC"/>
        </patternFill>
      </fill>
    </dxf>
    <dxf>
      <fill>
        <patternFill>
          <bgColor theme="0" tint="-0.24994659260841701"/>
        </patternFill>
      </fill>
    </dxf>
    <dxf>
      <font>
        <color rgb="FFFF0000"/>
      </font>
      <fill>
        <patternFill>
          <bgColor theme="7" tint="0.79998168889431442"/>
        </patternFill>
      </fill>
    </dxf>
    <dxf>
      <fill>
        <patternFill>
          <bgColor theme="5" tint="0.79998168889431442"/>
        </patternFill>
      </fill>
    </dxf>
    <dxf>
      <fill>
        <patternFill>
          <bgColor theme="5" tint="0.79998168889431442"/>
        </patternFill>
      </fill>
    </dxf>
    <dxf>
      <fill>
        <patternFill>
          <bgColor theme="0" tint="-0.2499465926084170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tint="-0.24994659260841701"/>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9" defaultPivotStyle="PivotStyleLight16"/>
  <colors>
    <mruColors>
      <color rgb="FFFFFFCC"/>
      <color rgb="FFFFDDFF"/>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50348</xdr:rowOff>
    </xdr:from>
    <xdr:to>
      <xdr:col>1</xdr:col>
      <xdr:colOff>2117</xdr:colOff>
      <xdr:row>2</xdr:row>
      <xdr:rowOff>200025</xdr:rowOff>
    </xdr:to>
    <xdr:pic>
      <xdr:nvPicPr>
        <xdr:cNvPr id="2" name="4 Imagen" descr="C:\Users\adriana.luque\Downloads\LOGO NUEVO + ALCALDIA 2-01.png">
          <a:extLst>
            <a:ext uri="{FF2B5EF4-FFF2-40B4-BE49-F238E27FC236}">
              <a16:creationId xmlns:a16="http://schemas.microsoft.com/office/drawing/2014/main" id="{EC7AAD25-E268-482E-A848-C16943A42B94}"/>
            </a:ext>
          </a:extLst>
        </xdr:cNvPr>
        <xdr:cNvPicPr>
          <a:picLocks noChangeAspect="1"/>
        </xdr:cNvPicPr>
      </xdr:nvPicPr>
      <xdr:blipFill>
        <a:blip xmlns:r="http://schemas.openxmlformats.org/officeDocument/2006/relationships" r:embed="rId1" cstate="print"/>
        <a:srcRect t="9674" r="56010" b="9726"/>
        <a:stretch>
          <a:fillRect/>
        </a:stretch>
      </xdr:blipFill>
      <xdr:spPr bwMode="auto">
        <a:xfrm>
          <a:off x="57150" y="50348"/>
          <a:ext cx="640292" cy="740227"/>
        </a:xfrm>
        <a:prstGeom prst="rect">
          <a:avLst/>
        </a:prstGeom>
        <a:noFill/>
        <a:ln w="9525">
          <a:noFill/>
          <a:miter lim="800000"/>
          <a:headEnd/>
          <a:tailEnd/>
        </a:ln>
      </xdr:spPr>
    </xdr:pic>
    <xdr:clientData/>
  </xdr:twoCellAnchor>
  <xdr:twoCellAnchor editAs="oneCell">
    <xdr:from>
      <xdr:col>32</xdr:col>
      <xdr:colOff>1047749</xdr:colOff>
      <xdr:row>0</xdr:row>
      <xdr:rowOff>0</xdr:rowOff>
    </xdr:from>
    <xdr:to>
      <xdr:col>33</xdr:col>
      <xdr:colOff>396654</xdr:colOff>
      <xdr:row>2</xdr:row>
      <xdr:rowOff>238125</xdr:rowOff>
    </xdr:to>
    <xdr:pic>
      <xdr:nvPicPr>
        <xdr:cNvPr id="3" name="5 Imagen" descr="C:\Users\adriana.luque\Downloads\LOGO NUEVO + ALCALDIA 2-01.png">
          <a:extLst>
            <a:ext uri="{FF2B5EF4-FFF2-40B4-BE49-F238E27FC236}">
              <a16:creationId xmlns:a16="http://schemas.microsoft.com/office/drawing/2014/main" id="{1FFB2524-F38B-4991-B46A-A459C5EB9020}"/>
            </a:ext>
          </a:extLst>
        </xdr:cNvPr>
        <xdr:cNvPicPr>
          <a:picLocks noChangeAspect="1"/>
        </xdr:cNvPicPr>
      </xdr:nvPicPr>
      <xdr:blipFill>
        <a:blip xmlns:r="http://schemas.openxmlformats.org/officeDocument/2006/relationships" r:embed="rId2" cstate="print"/>
        <a:srcRect l="53850" t="7025" b="10076"/>
        <a:stretch>
          <a:fillRect/>
        </a:stretch>
      </xdr:blipFill>
      <xdr:spPr bwMode="auto">
        <a:xfrm>
          <a:off x="58751931" y="0"/>
          <a:ext cx="976815" cy="82694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0\Infraestructura\Documents\CONTRATOS%20VIGENTES\2025%20CONTRATOS\3.%20TT-50-2025%20-%20FERRETERIA%20TERMINALES\OFERTAS\EVALUACION%20ECONOM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UDIO DE MERCADO"/>
      <sheetName val="1. MAFER S.A.S"/>
      <sheetName val="2. UT ESTUDIOS"/>
      <sheetName val="3. BRAND CENTER"/>
      <sheetName val="7. DISERRA S.A.S"/>
      <sheetName val="8. WILLIAM ALFONSO LAGUNA VARGA"/>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1CB5D-FD5F-4E42-94BD-AD9303DA2765}">
  <sheetPr>
    <tabColor rgb="FF92D050"/>
  </sheetPr>
  <dimension ref="A1:L23"/>
  <sheetViews>
    <sheetView tabSelected="1" view="pageBreakPreview" zoomScale="70" zoomScaleNormal="70" zoomScaleSheetLayoutView="70" workbookViewId="0">
      <selection sqref="A1:J1"/>
    </sheetView>
  </sheetViews>
  <sheetFormatPr baseColWidth="10" defaultColWidth="12.5703125" defaultRowHeight="16.5"/>
  <cols>
    <col min="1" max="1" width="10.42578125" style="98" customWidth="1"/>
    <col min="2" max="2" width="68.28515625" style="1" customWidth="1"/>
    <col min="3" max="3" width="16.140625" style="18" customWidth="1"/>
    <col min="4" max="5" width="16.28515625" style="44" customWidth="1"/>
    <col min="6" max="6" width="16.140625" style="44" customWidth="1"/>
    <col min="7" max="7" width="20.42578125" style="44" customWidth="1"/>
    <col min="8" max="9" width="19" style="1" customWidth="1"/>
    <col min="10" max="10" width="22.7109375" style="13" customWidth="1"/>
    <col min="11" max="16384" width="12.5703125" style="1"/>
  </cols>
  <sheetData>
    <row r="1" spans="1:12" s="2" customFormat="1" ht="26.25" customHeight="1">
      <c r="A1" s="188" t="s">
        <v>84</v>
      </c>
      <c r="B1" s="188"/>
      <c r="C1" s="188"/>
      <c r="D1" s="188"/>
      <c r="E1" s="188"/>
      <c r="F1" s="188"/>
      <c r="G1" s="188"/>
      <c r="H1" s="188"/>
      <c r="I1" s="188"/>
      <c r="J1" s="188"/>
    </row>
    <row r="2" spans="1:12" s="2" customFormat="1" ht="159.75" customHeight="1">
      <c r="A2" s="190" t="s">
        <v>93</v>
      </c>
      <c r="B2" s="191"/>
      <c r="C2" s="191"/>
      <c r="D2" s="191"/>
      <c r="E2" s="191"/>
      <c r="F2" s="191"/>
      <c r="G2" s="191"/>
      <c r="H2" s="191"/>
      <c r="I2" s="191"/>
      <c r="J2" s="192"/>
    </row>
    <row r="3" spans="1:12" s="2" customFormat="1" ht="15.75" customHeight="1">
      <c r="A3" s="189"/>
      <c r="B3" s="189"/>
      <c r="C3" s="189"/>
      <c r="D3" s="189"/>
      <c r="E3" s="189"/>
      <c r="F3" s="189"/>
      <c r="G3" s="189"/>
      <c r="H3" s="189"/>
      <c r="I3" s="189"/>
      <c r="J3" s="189"/>
    </row>
    <row r="4" spans="1:12" ht="17.25" customHeight="1">
      <c r="A4" s="205" t="s">
        <v>1</v>
      </c>
      <c r="B4" s="206"/>
      <c r="C4" s="206"/>
      <c r="D4" s="193" t="s">
        <v>55</v>
      </c>
      <c r="E4" s="193" t="s">
        <v>56</v>
      </c>
      <c r="F4" s="193" t="s">
        <v>57</v>
      </c>
      <c r="G4" s="193" t="s">
        <v>58</v>
      </c>
      <c r="H4" s="194" t="s">
        <v>3</v>
      </c>
      <c r="I4" s="200" t="s">
        <v>92</v>
      </c>
      <c r="J4" s="193" t="s">
        <v>82</v>
      </c>
    </row>
    <row r="5" spans="1:12" ht="25.5" customHeight="1">
      <c r="A5" s="207"/>
      <c r="B5" s="208"/>
      <c r="C5" s="208"/>
      <c r="D5" s="193"/>
      <c r="E5" s="193"/>
      <c r="F5" s="193"/>
      <c r="G5" s="193"/>
      <c r="H5" s="194"/>
      <c r="I5" s="201"/>
      <c r="J5" s="193"/>
    </row>
    <row r="6" spans="1:12" ht="54" customHeight="1">
      <c r="A6" s="97" t="s">
        <v>10</v>
      </c>
      <c r="B6" s="181" t="s">
        <v>2</v>
      </c>
      <c r="C6" s="181" t="s">
        <v>25</v>
      </c>
      <c r="D6" s="193"/>
      <c r="E6" s="193"/>
      <c r="F6" s="193"/>
      <c r="G6" s="193"/>
      <c r="H6" s="194"/>
      <c r="I6" s="202"/>
      <c r="J6" s="193"/>
    </row>
    <row r="7" spans="1:12" s="55" customFormat="1" ht="117.75" customHeight="1">
      <c r="A7" s="94">
        <v>1</v>
      </c>
      <c r="B7" s="87" t="s">
        <v>87</v>
      </c>
      <c r="C7" s="93" t="s">
        <v>24</v>
      </c>
      <c r="D7" s="183">
        <v>0</v>
      </c>
      <c r="E7" s="178">
        <f>D7*19%</f>
        <v>0</v>
      </c>
      <c r="F7" s="178">
        <f>D7+E7</f>
        <v>0</v>
      </c>
      <c r="G7" s="178">
        <f>ROUND(F7*H7,0)</f>
        <v>0</v>
      </c>
      <c r="H7" s="88">
        <v>1100</v>
      </c>
      <c r="I7" s="186" t="str">
        <f>IF(AND(D7&gt;0,G7&lt;=J7),"CUMPLE","NO CUMPLE")</f>
        <v>NO CUMPLE</v>
      </c>
      <c r="J7" s="179">
        <v>19551400</v>
      </c>
      <c r="L7" s="56"/>
    </row>
    <row r="8" spans="1:12" s="55" customFormat="1" ht="108.75" customHeight="1">
      <c r="A8" s="182">
        <v>2</v>
      </c>
      <c r="B8" s="87" t="s">
        <v>88</v>
      </c>
      <c r="C8" s="93" t="s">
        <v>24</v>
      </c>
      <c r="D8" s="183">
        <v>0</v>
      </c>
      <c r="E8" s="178">
        <f t="shared" ref="E8:E12" si="0">D8*19%</f>
        <v>0</v>
      </c>
      <c r="F8" s="178">
        <f t="shared" ref="F8:F12" si="1">D8+E8</f>
        <v>0</v>
      </c>
      <c r="G8" s="178">
        <f t="shared" ref="G8:G12" si="2">ROUND(F8*H8,0)</f>
        <v>0</v>
      </c>
      <c r="H8" s="88">
        <v>200</v>
      </c>
      <c r="I8" s="186" t="str">
        <f t="shared" ref="I8:I12" si="3">IF(AND(D8&gt;0,G8&lt;=J8),"CUMPLE","NO CUMPLE")</f>
        <v>NO CUMPLE</v>
      </c>
      <c r="J8" s="179">
        <v>3554800</v>
      </c>
      <c r="L8" s="56"/>
    </row>
    <row r="9" spans="1:12" s="55" customFormat="1" ht="110.25" customHeight="1">
      <c r="A9" s="93">
        <v>3</v>
      </c>
      <c r="B9" s="87" t="s">
        <v>89</v>
      </c>
      <c r="C9" s="93" t="s">
        <v>24</v>
      </c>
      <c r="D9" s="183">
        <v>0</v>
      </c>
      <c r="E9" s="178">
        <f t="shared" si="0"/>
        <v>0</v>
      </c>
      <c r="F9" s="178">
        <f t="shared" si="1"/>
        <v>0</v>
      </c>
      <c r="G9" s="178">
        <f t="shared" si="2"/>
        <v>0</v>
      </c>
      <c r="H9" s="88">
        <v>100</v>
      </c>
      <c r="I9" s="186" t="str">
        <f t="shared" si="3"/>
        <v>NO CUMPLE</v>
      </c>
      <c r="J9" s="179">
        <v>1777400</v>
      </c>
      <c r="L9" s="56"/>
    </row>
    <row r="10" spans="1:12" s="55" customFormat="1" ht="96" customHeight="1">
      <c r="A10" s="93">
        <v>4</v>
      </c>
      <c r="B10" s="87" t="s">
        <v>83</v>
      </c>
      <c r="C10" s="93" t="s">
        <v>25</v>
      </c>
      <c r="D10" s="183">
        <v>0</v>
      </c>
      <c r="E10" s="178">
        <f t="shared" si="0"/>
        <v>0</v>
      </c>
      <c r="F10" s="178">
        <f t="shared" si="1"/>
        <v>0</v>
      </c>
      <c r="G10" s="178">
        <f t="shared" si="2"/>
        <v>0</v>
      </c>
      <c r="H10" s="88">
        <v>1100</v>
      </c>
      <c r="I10" s="186" t="str">
        <f t="shared" si="3"/>
        <v>NO CUMPLE</v>
      </c>
      <c r="J10" s="179">
        <v>3448500</v>
      </c>
      <c r="L10" s="56"/>
    </row>
    <row r="11" spans="1:12" s="55" customFormat="1" ht="78.75" customHeight="1">
      <c r="A11" s="94">
        <v>5</v>
      </c>
      <c r="B11" s="87" t="s">
        <v>86</v>
      </c>
      <c r="C11" s="93" t="s">
        <v>25</v>
      </c>
      <c r="D11" s="183">
        <v>0</v>
      </c>
      <c r="E11" s="178">
        <f t="shared" si="0"/>
        <v>0</v>
      </c>
      <c r="F11" s="178">
        <f t="shared" si="1"/>
        <v>0</v>
      </c>
      <c r="G11" s="178">
        <f t="shared" si="2"/>
        <v>0</v>
      </c>
      <c r="H11" s="88">
        <v>200</v>
      </c>
      <c r="I11" s="186" t="str">
        <f t="shared" si="3"/>
        <v>NO CUMPLE</v>
      </c>
      <c r="J11" s="179">
        <v>627000</v>
      </c>
      <c r="L11" s="56"/>
    </row>
    <row r="12" spans="1:12" s="55" customFormat="1" ht="74.25" customHeight="1">
      <c r="A12" s="93">
        <v>6</v>
      </c>
      <c r="B12" s="87" t="s">
        <v>90</v>
      </c>
      <c r="C12" s="93" t="s">
        <v>25</v>
      </c>
      <c r="D12" s="183">
        <v>0</v>
      </c>
      <c r="E12" s="178">
        <f t="shared" si="0"/>
        <v>0</v>
      </c>
      <c r="F12" s="178">
        <f t="shared" si="1"/>
        <v>0</v>
      </c>
      <c r="G12" s="178">
        <f t="shared" si="2"/>
        <v>0</v>
      </c>
      <c r="H12" s="88">
        <v>100</v>
      </c>
      <c r="I12" s="186" t="str">
        <f t="shared" si="3"/>
        <v>NO CUMPLE</v>
      </c>
      <c r="J12" s="179">
        <v>313500</v>
      </c>
      <c r="L12" s="187"/>
    </row>
    <row r="13" spans="1:12" s="59" customFormat="1" ht="19.5" customHeight="1">
      <c r="A13" s="195" t="s">
        <v>94</v>
      </c>
      <c r="B13" s="196"/>
      <c r="C13" s="184">
        <v>1</v>
      </c>
      <c r="D13" s="197" t="s">
        <v>91</v>
      </c>
      <c r="E13" s="198"/>
      <c r="F13" s="198"/>
      <c r="G13" s="198"/>
      <c r="H13" s="199"/>
      <c r="I13" s="185"/>
      <c r="J13" s="180">
        <v>31500000</v>
      </c>
    </row>
    <row r="14" spans="1:12" s="26" customFormat="1" ht="24" customHeight="1">
      <c r="A14" s="203"/>
      <c r="B14" s="203"/>
      <c r="C14" s="154"/>
      <c r="D14" s="63"/>
      <c r="E14" s="63"/>
      <c r="F14" s="63"/>
      <c r="G14" s="63"/>
      <c r="H14" s="66"/>
      <c r="I14" s="66"/>
      <c r="J14" s="67"/>
    </row>
    <row r="15" spans="1:12" s="32" customFormat="1">
      <c r="A15" s="151"/>
      <c r="B15" s="151"/>
      <c r="C15" s="151"/>
      <c r="D15" s="44"/>
      <c r="E15" s="44"/>
      <c r="F15" s="44"/>
      <c r="G15" s="44"/>
      <c r="H15" s="19"/>
      <c r="I15" s="19"/>
      <c r="J15" s="13"/>
    </row>
    <row r="16" spans="1:12" s="32" customFormat="1">
      <c r="A16" s="151"/>
      <c r="B16" s="151"/>
      <c r="C16" s="151"/>
      <c r="D16" s="44"/>
      <c r="E16" s="44"/>
      <c r="F16" s="44"/>
      <c r="G16" s="44"/>
      <c r="H16" s="19"/>
      <c r="I16" s="19"/>
      <c r="J16" s="13"/>
    </row>
    <row r="17" spans="1:10" s="32" customFormat="1">
      <c r="A17" s="152"/>
      <c r="B17" s="152"/>
      <c r="C17" s="152"/>
      <c r="D17" s="44"/>
      <c r="E17" s="44"/>
      <c r="F17" s="44"/>
      <c r="G17" s="44"/>
      <c r="H17" s="19"/>
      <c r="I17" s="19"/>
      <c r="J17" s="13"/>
    </row>
    <row r="23" spans="1:10" ht="14.25">
      <c r="A23" s="204" t="s">
        <v>85</v>
      </c>
      <c r="B23" s="204"/>
    </row>
  </sheetData>
  <mergeCells count="15">
    <mergeCell ref="A13:B13"/>
    <mergeCell ref="D13:H13"/>
    <mergeCell ref="I4:I6"/>
    <mergeCell ref="A14:B14"/>
    <mergeCell ref="A23:B23"/>
    <mergeCell ref="A4:C5"/>
    <mergeCell ref="A1:J1"/>
    <mergeCell ref="A3:J3"/>
    <mergeCell ref="A2:J2"/>
    <mergeCell ref="J4:J6"/>
    <mergeCell ref="D4:D6"/>
    <mergeCell ref="E4:E6"/>
    <mergeCell ref="F4:F6"/>
    <mergeCell ref="G4:G6"/>
    <mergeCell ref="H4:H6"/>
  </mergeCells>
  <conditionalFormatting sqref="I7:I12">
    <cfRule type="cellIs" dxfId="33" priority="1" operator="equal">
      <formula>"NO CUMPLE"</formula>
    </cfRule>
    <cfRule type="cellIs" dxfId="32" priority="3" operator="equal">
      <formula>"CUMPLE"</formula>
    </cfRule>
    <cfRule type="expression" dxfId="31" priority="2">
      <formula>$G7&gt;$J7/1.2</formula>
    </cfRule>
  </conditionalFormatting>
  <printOptions horizontalCentered="1"/>
  <pageMargins left="0.19685039370078741" right="0.19685039370078741" top="0.39370078740157483" bottom="0.35433070866141736" header="0" footer="0"/>
  <pageSetup scale="1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EL55"/>
  <sheetViews>
    <sheetView showGridLines="0" view="pageBreakPreview" topLeftCell="H7" zoomScale="55" zoomScaleNormal="70" zoomScaleSheetLayoutView="55" workbookViewId="0">
      <selection activeCell="H12" sqref="H12"/>
    </sheetView>
  </sheetViews>
  <sheetFormatPr baseColWidth="10" defaultColWidth="12.5703125" defaultRowHeight="16.5"/>
  <cols>
    <col min="1" max="1" width="10.42578125" style="98" customWidth="1"/>
    <col min="2" max="2" width="65.140625" style="1" customWidth="1"/>
    <col min="3" max="3" width="16.140625" style="18" customWidth="1"/>
    <col min="4" max="5" width="16.28515625" style="86" customWidth="1"/>
    <col min="6" max="6" width="16.28515625" style="44" customWidth="1"/>
    <col min="7" max="7" width="20.140625" style="44" customWidth="1"/>
    <col min="8" max="10" width="16.28515625" style="44" customWidth="1"/>
    <col min="11" max="11" width="20.140625" style="44" customWidth="1"/>
    <col min="12" max="14" width="16.28515625" style="44" customWidth="1"/>
    <col min="15" max="15" width="20.140625" style="44" customWidth="1"/>
    <col min="16" max="18" width="16.28515625" style="44" customWidth="1"/>
    <col min="19" max="19" width="20.140625" style="44" customWidth="1"/>
    <col min="20" max="21" width="16.28515625" style="44" customWidth="1"/>
    <col min="22" max="22" width="16.28515625" style="13" customWidth="1"/>
    <col min="23" max="26" width="20.140625" style="13" customWidth="1"/>
    <col min="27" max="27" width="23.28515625" style="13" customWidth="1"/>
    <col min="28" max="29" width="13.85546875" style="13" customWidth="1"/>
    <col min="30" max="30" width="17.140625" style="13" customWidth="1"/>
    <col min="31" max="31" width="20.140625" style="13" customWidth="1"/>
    <col min="32" max="32" width="16.7109375" style="1" customWidth="1"/>
    <col min="33" max="33" width="24.42578125" style="13" customWidth="1"/>
    <col min="34" max="34" width="26.28515625" style="13" customWidth="1"/>
    <col min="35" max="36" width="20.5703125" style="13" customWidth="1"/>
    <col min="37" max="43" width="16.5703125" style="1" customWidth="1"/>
    <col min="44" max="48" width="14.28515625" style="1" customWidth="1"/>
    <col min="49" max="49" width="3.28515625" style="32" customWidth="1"/>
    <col min="50" max="50" width="16" style="1" bestFit="1" customWidth="1"/>
    <col min="51" max="52" width="13.5703125" style="1" customWidth="1"/>
    <col min="53" max="53" width="1" style="1" customWidth="1"/>
    <col min="54" max="60" width="15.7109375" style="1" customWidth="1"/>
    <col min="61" max="61" width="14.28515625" style="1" customWidth="1"/>
    <col min="62" max="62" width="18" style="1" bestFit="1" customWidth="1"/>
    <col min="63" max="63" width="22" style="1" customWidth="1"/>
    <col min="64" max="64" width="23.7109375" style="1" customWidth="1"/>
    <col min="65" max="68" width="15.42578125" style="1" customWidth="1"/>
    <col min="69" max="69" width="9.85546875" style="32" customWidth="1"/>
    <col min="70" max="70" width="21.7109375" style="1" customWidth="1"/>
    <col min="71" max="72" width="19.5703125" style="1" customWidth="1"/>
    <col min="73" max="73" width="7.42578125" style="1" customWidth="1"/>
    <col min="74" max="80" width="16.28515625" style="1" customWidth="1"/>
    <col min="81" max="88" width="14.28515625" style="1" customWidth="1"/>
    <col min="89" max="89" width="7.85546875" style="32" customWidth="1"/>
    <col min="90" max="91" width="14.28515625" style="1" customWidth="1"/>
    <col min="92" max="92" width="18.42578125" style="1" customWidth="1"/>
    <col min="93" max="93" width="4.7109375" style="1" customWidth="1"/>
    <col min="94" max="98" width="18.42578125" style="15" customWidth="1"/>
    <col min="99" max="99" width="14.28515625" style="1" customWidth="1"/>
    <col min="100" max="108" width="18.42578125" style="15" customWidth="1"/>
    <col min="109" max="109" width="3.85546875" style="1" customWidth="1"/>
    <col min="110" max="110" width="16" style="1" bestFit="1" customWidth="1"/>
    <col min="111" max="111" width="21.5703125" style="1" bestFit="1" customWidth="1"/>
    <col min="112" max="112" width="13.28515625" style="70" bestFit="1" customWidth="1"/>
    <col min="113" max="113" width="4.140625" style="1" customWidth="1"/>
    <col min="114" max="123" width="17.140625" style="1" hidden="1" customWidth="1"/>
    <col min="124" max="124" width="3.85546875" style="1" hidden="1" customWidth="1"/>
    <col min="125" max="136" width="17.140625" style="1" hidden="1" customWidth="1"/>
    <col min="137" max="137" width="4.140625" style="1" hidden="1" customWidth="1"/>
    <col min="138" max="138" width="13.7109375" style="13" hidden="1" customWidth="1"/>
    <col min="139" max="139" width="14.42578125" style="13" hidden="1" customWidth="1"/>
    <col min="140" max="140" width="12.5703125" style="121" hidden="1" customWidth="1"/>
    <col min="141" max="142" width="12.5703125" style="13" customWidth="1"/>
    <col min="143" max="16384" width="12.5703125" style="1"/>
  </cols>
  <sheetData>
    <row r="1" spans="1:142" ht="23.25" customHeight="1">
      <c r="A1" s="217"/>
      <c r="B1" s="218" t="s">
        <v>46</v>
      </c>
      <c r="C1" s="219"/>
      <c r="D1" s="219"/>
      <c r="E1" s="219"/>
      <c r="F1" s="219"/>
      <c r="G1" s="219"/>
      <c r="H1" s="219"/>
      <c r="I1" s="219"/>
      <c r="J1" s="219"/>
      <c r="K1" s="219"/>
      <c r="L1" s="219"/>
      <c r="M1" s="219"/>
      <c r="N1" s="219"/>
      <c r="O1" s="219"/>
      <c r="P1" s="219"/>
      <c r="Q1" s="219"/>
      <c r="R1" s="219"/>
      <c r="S1" s="219"/>
      <c r="T1" s="219"/>
      <c r="U1" s="219"/>
      <c r="V1" s="219"/>
      <c r="W1" s="219"/>
      <c r="X1" s="172"/>
      <c r="Y1" s="172"/>
      <c r="Z1" s="172"/>
      <c r="AA1" s="172"/>
      <c r="AB1" s="261" t="s">
        <v>11</v>
      </c>
      <c r="AC1" s="262"/>
      <c r="AD1" s="262"/>
      <c r="AE1" s="262"/>
      <c r="AF1" s="263"/>
      <c r="AG1" s="209"/>
      <c r="AH1" s="209"/>
      <c r="AI1" s="25"/>
      <c r="AJ1" s="25"/>
      <c r="AX1" s="11" t="s">
        <v>20</v>
      </c>
      <c r="AY1" s="12" t="s">
        <v>23</v>
      </c>
      <c r="AZ1" s="105"/>
      <c r="BR1" s="11" t="s">
        <v>20</v>
      </c>
      <c r="BS1" s="12" t="s">
        <v>23</v>
      </c>
      <c r="BT1" s="105"/>
      <c r="CM1" s="11" t="s">
        <v>20</v>
      </c>
      <c r="CN1" s="12" t="s">
        <v>23</v>
      </c>
      <c r="DG1" s="11" t="s">
        <v>20</v>
      </c>
      <c r="DH1" s="12" t="s">
        <v>23</v>
      </c>
      <c r="EI1" s="11" t="s">
        <v>20</v>
      </c>
      <c r="EJ1" s="12" t="s">
        <v>23</v>
      </c>
    </row>
    <row r="2" spans="1:142" ht="23.25" customHeight="1">
      <c r="A2" s="217"/>
      <c r="B2" s="220"/>
      <c r="C2" s="221"/>
      <c r="D2" s="221"/>
      <c r="E2" s="221"/>
      <c r="F2" s="221"/>
      <c r="G2" s="221"/>
      <c r="H2" s="221"/>
      <c r="I2" s="221"/>
      <c r="J2" s="221"/>
      <c r="K2" s="221"/>
      <c r="L2" s="221"/>
      <c r="M2" s="221"/>
      <c r="N2" s="221"/>
      <c r="O2" s="221"/>
      <c r="P2" s="221"/>
      <c r="Q2" s="221"/>
      <c r="R2" s="221"/>
      <c r="S2" s="221"/>
      <c r="T2" s="221"/>
      <c r="U2" s="221"/>
      <c r="V2" s="221"/>
      <c r="W2" s="221"/>
      <c r="X2" s="173"/>
      <c r="Y2" s="173"/>
      <c r="Z2" s="173"/>
      <c r="AA2" s="173"/>
      <c r="AB2" s="264" t="s">
        <v>12</v>
      </c>
      <c r="AC2" s="265"/>
      <c r="AD2" s="265"/>
      <c r="AE2" s="265"/>
      <c r="AF2" s="266"/>
      <c r="AG2" s="209"/>
      <c r="AH2" s="209"/>
      <c r="AI2" s="25"/>
      <c r="AJ2" s="25"/>
      <c r="AX2" s="16" t="s">
        <v>21</v>
      </c>
      <c r="AY2" s="17">
        <f>COUNTIF(AZ9:AZ17,"&lt;=30%")</f>
        <v>0</v>
      </c>
      <c r="AZ2" s="106"/>
      <c r="BH2" s="18"/>
      <c r="BI2" s="18"/>
      <c r="BJ2" s="1">
        <v>29</v>
      </c>
      <c r="BK2" s="1" t="s">
        <v>31</v>
      </c>
      <c r="BR2" s="16" t="s">
        <v>21</v>
      </c>
      <c r="BS2" s="17">
        <f>COUNTIF(BT9:BT17,"&lt;=30%")</f>
        <v>3</v>
      </c>
      <c r="BT2" s="106"/>
      <c r="CM2" s="16" t="s">
        <v>21</v>
      </c>
      <c r="CN2" s="17">
        <f>COUNTIF(CN9:CN17,"&lt;=30%")</f>
        <v>6</v>
      </c>
      <c r="DG2" s="16" t="s">
        <v>21</v>
      </c>
      <c r="DH2" s="17">
        <f>COUNTIF(DH9:DH17,"&lt;=30%")</f>
        <v>6</v>
      </c>
      <c r="EI2" s="16" t="s">
        <v>21</v>
      </c>
      <c r="EJ2" s="17">
        <f>COUNTIF(EJ9:EJ17,"&lt;=30%")</f>
        <v>4</v>
      </c>
    </row>
    <row r="3" spans="1:142" ht="22.5" customHeight="1">
      <c r="A3" s="217"/>
      <c r="B3" s="276" t="s">
        <v>13</v>
      </c>
      <c r="C3" s="277"/>
      <c r="D3" s="277"/>
      <c r="E3" s="277"/>
      <c r="F3" s="277"/>
      <c r="G3" s="277"/>
      <c r="H3" s="277"/>
      <c r="I3" s="277"/>
      <c r="J3" s="277"/>
      <c r="K3" s="278"/>
      <c r="L3" s="269" t="s">
        <v>17</v>
      </c>
      <c r="M3" s="270"/>
      <c r="N3" s="270"/>
      <c r="O3" s="270"/>
      <c r="P3" s="270"/>
      <c r="Q3" s="270"/>
      <c r="R3" s="270"/>
      <c r="S3" s="270"/>
      <c r="T3" s="270"/>
      <c r="U3" s="270"/>
      <c r="V3" s="270"/>
      <c r="W3" s="270"/>
      <c r="X3" s="270"/>
      <c r="Y3" s="270"/>
      <c r="Z3" s="270"/>
      <c r="AA3" s="271"/>
      <c r="AB3" s="264" t="s">
        <v>14</v>
      </c>
      <c r="AC3" s="265"/>
      <c r="AD3" s="265"/>
      <c r="AE3" s="265"/>
      <c r="AF3" s="266"/>
      <c r="AG3" s="209"/>
      <c r="AH3" s="209"/>
      <c r="AI3" s="25"/>
      <c r="AJ3" s="25"/>
      <c r="AX3" s="16" t="s">
        <v>28</v>
      </c>
      <c r="AY3" s="17">
        <f>COUNTIFS(AZ9:AZ17,"&lt;=35%",AZ9:AZ17,"&gt;30%")</f>
        <v>3</v>
      </c>
      <c r="AZ3" s="106"/>
      <c r="BR3" s="16" t="s">
        <v>28</v>
      </c>
      <c r="BS3" s="17">
        <f>COUNTIFS(BT9:BT17,"&lt;=35%",BT9:BT17,"&gt;30%")</f>
        <v>3</v>
      </c>
      <c r="BT3" s="106"/>
      <c r="CM3" s="16" t="s">
        <v>28</v>
      </c>
      <c r="CN3" s="17">
        <f>COUNTIFS(CN9:CN17,"&lt;=35%",CN9:CN17,"&gt;30%")</f>
        <v>0</v>
      </c>
      <c r="DG3" s="16" t="s">
        <v>28</v>
      </c>
      <c r="DH3" s="17">
        <f>COUNTIFS(DH9:DH17,"&lt;=35%",DH9:DH17,"&gt;30%")</f>
        <v>0</v>
      </c>
      <c r="EI3" s="16" t="s">
        <v>28</v>
      </c>
      <c r="EJ3" s="17">
        <f>COUNTIFS(EJ9:EJ17,"&lt;=35%",EJ9:EJ17,"&gt;30%")</f>
        <v>1</v>
      </c>
    </row>
    <row r="4" spans="1:142" ht="11.25" customHeight="1">
      <c r="A4" s="96"/>
      <c r="B4" s="20"/>
      <c r="C4" s="20"/>
      <c r="D4" s="21"/>
      <c r="E4" s="21"/>
      <c r="F4" s="22"/>
      <c r="G4" s="22"/>
      <c r="H4" s="22"/>
      <c r="I4" s="22"/>
      <c r="J4" s="22"/>
      <c r="K4" s="22"/>
      <c r="L4" s="22"/>
      <c r="M4" s="22"/>
      <c r="N4" s="22"/>
      <c r="O4" s="22"/>
      <c r="P4" s="22"/>
      <c r="Q4" s="22"/>
      <c r="R4" s="22"/>
      <c r="S4" s="22"/>
      <c r="T4" s="22"/>
      <c r="U4" s="22"/>
      <c r="V4" s="22"/>
      <c r="W4" s="22"/>
      <c r="X4" s="22"/>
      <c r="Y4" s="22"/>
      <c r="Z4" s="22"/>
      <c r="AA4" s="22"/>
      <c r="AB4" s="23"/>
      <c r="AC4" s="23"/>
      <c r="AD4" s="23"/>
      <c r="AE4" s="23"/>
      <c r="AF4" s="24"/>
      <c r="AG4" s="25"/>
      <c r="AH4" s="25"/>
      <c r="AI4" s="25"/>
      <c r="AJ4" s="25"/>
      <c r="AX4" s="16" t="s">
        <v>29</v>
      </c>
      <c r="AY4" s="17">
        <f>COUNTIFS(AZ11:AZ17,"&lt;=40%",AZ11:AZ17,"&gt;35%")</f>
        <v>3</v>
      </c>
      <c r="AZ4" s="106"/>
      <c r="BR4" s="16" t="s">
        <v>29</v>
      </c>
      <c r="BS4" s="17">
        <f>COUNTIFS(BT11:BT17,"&lt;=40%",BT11:BT17,"&gt;35%")</f>
        <v>0</v>
      </c>
      <c r="BT4" s="106"/>
      <c r="CM4" s="16" t="s">
        <v>29</v>
      </c>
      <c r="CN4" s="17">
        <f>COUNTIFS(CN11:CN17,"&lt;=40%",CN11:CN17,"&gt;35%")</f>
        <v>0</v>
      </c>
      <c r="DG4" s="16" t="s">
        <v>29</v>
      </c>
      <c r="DH4" s="17">
        <f>COUNTIFS(DH11:DH17,"&lt;=40%",DH11:DH17,"&gt;35%")</f>
        <v>0</v>
      </c>
      <c r="EI4" s="16" t="s">
        <v>29</v>
      </c>
      <c r="EJ4" s="17">
        <f>COUNTIFS(EJ11:EJ17,"&lt;=40%",EJ11:EJ17,"&gt;35%")</f>
        <v>0</v>
      </c>
    </row>
    <row r="5" spans="1:142" s="2" customFormat="1" ht="21" customHeight="1">
      <c r="A5" s="210" t="s">
        <v>64</v>
      </c>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144"/>
      <c r="AJ5" s="144"/>
      <c r="AW5" s="26"/>
      <c r="AX5" s="16" t="s">
        <v>22</v>
      </c>
      <c r="AY5" s="17">
        <f>COUNTIF(AZ9:AZ17,"&gt;40%")</f>
        <v>0</v>
      </c>
      <c r="AZ5" s="106"/>
      <c r="BQ5" s="26"/>
      <c r="BR5" s="16" t="s">
        <v>22</v>
      </c>
      <c r="BS5" s="17">
        <f>COUNTIF(BT9:BT17,"&gt;40%")</f>
        <v>0</v>
      </c>
      <c r="BT5" s="106"/>
      <c r="CK5" s="26"/>
      <c r="CM5" s="16" t="s">
        <v>22</v>
      </c>
      <c r="CN5" s="17">
        <f>COUNTIF(CN9:CN17,"&gt;40%")</f>
        <v>0</v>
      </c>
      <c r="CP5" s="29"/>
      <c r="CQ5" s="29"/>
      <c r="CR5" s="29"/>
      <c r="CS5" s="29"/>
      <c r="CT5" s="29"/>
      <c r="CV5" s="29"/>
      <c r="CW5" s="29"/>
      <c r="CX5" s="29"/>
      <c r="CY5" s="29"/>
      <c r="CZ5" s="29"/>
      <c r="DA5" s="29"/>
      <c r="DB5" s="29"/>
      <c r="DC5" s="29"/>
      <c r="DD5" s="29"/>
      <c r="DG5" s="16" t="s">
        <v>22</v>
      </c>
      <c r="DH5" s="17">
        <f>COUNTIF(DH9:DH17,"&gt;40%")</f>
        <v>0</v>
      </c>
      <c r="EH5" s="27"/>
      <c r="EI5" s="16" t="s">
        <v>22</v>
      </c>
      <c r="EJ5" s="17">
        <f>COUNTIF(EJ11:EJ17,"&gt;40%")</f>
        <v>1</v>
      </c>
      <c r="EK5" s="27"/>
      <c r="EL5" s="27"/>
    </row>
    <row r="6" spans="1:142" s="2" customFormat="1" ht="26.25" customHeight="1">
      <c r="A6" s="272" t="s">
        <v>15</v>
      </c>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16">
        <f>+AG18</f>
        <v>26534200</v>
      </c>
      <c r="AC6" s="216"/>
      <c r="AD6" s="216"/>
      <c r="AE6" s="216"/>
      <c r="AF6" s="216"/>
      <c r="AG6" s="212" t="s">
        <v>77</v>
      </c>
      <c r="AH6" s="213"/>
      <c r="AI6" s="145"/>
      <c r="AJ6" s="145"/>
      <c r="AQ6" s="3"/>
      <c r="AR6" s="30"/>
      <c r="AW6" s="26"/>
      <c r="AX6" s="16" t="s">
        <v>26</v>
      </c>
      <c r="AY6" s="17">
        <f>COUNTIF(AZ11:AZ16,"")</f>
        <v>0</v>
      </c>
      <c r="AZ6" s="106"/>
      <c r="BQ6" s="26"/>
      <c r="BR6" s="16" t="s">
        <v>26</v>
      </c>
      <c r="BS6" s="17">
        <f>COUNTIF(BT11:BT16,"")</f>
        <v>0</v>
      </c>
      <c r="BT6" s="106"/>
      <c r="CK6" s="26"/>
      <c r="CM6" s="16" t="s">
        <v>26</v>
      </c>
      <c r="CN6" s="17">
        <f>COUNTIF(CN11:CN16,"")</f>
        <v>0</v>
      </c>
      <c r="CP6" s="29"/>
      <c r="CQ6" s="29"/>
      <c r="CR6" s="29"/>
      <c r="CS6" s="29"/>
      <c r="CT6" s="29"/>
      <c r="CV6" s="29"/>
      <c r="CW6" s="29"/>
      <c r="CX6" s="29"/>
      <c r="CY6" s="29"/>
      <c r="CZ6" s="29"/>
      <c r="DA6" s="29"/>
      <c r="DB6" s="29"/>
      <c r="DC6" s="29"/>
      <c r="DD6" s="29"/>
      <c r="DG6" s="16" t="s">
        <v>26</v>
      </c>
      <c r="DH6" s="17">
        <f>COUNTIF(DH11:DH16,"")</f>
        <v>0</v>
      </c>
      <c r="EH6" s="27"/>
      <c r="EI6" s="16" t="s">
        <v>26</v>
      </c>
      <c r="EJ6" s="17">
        <f>COUNTIF(EJ11:EJ17,"")</f>
        <v>0</v>
      </c>
      <c r="EK6" s="27"/>
      <c r="EL6" s="27"/>
    </row>
    <row r="7" spans="1:142" s="2" customFormat="1" ht="26.25" customHeight="1">
      <c r="A7" s="274" t="s">
        <v>16</v>
      </c>
      <c r="B7" s="275"/>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16">
        <v>35000000</v>
      </c>
      <c r="AC7" s="216"/>
      <c r="AD7" s="216"/>
      <c r="AE7" s="216"/>
      <c r="AF7" s="216"/>
      <c r="AG7" s="214"/>
      <c r="AH7" s="215"/>
      <c r="AI7" s="145"/>
      <c r="AJ7" s="145"/>
      <c r="AW7" s="26"/>
      <c r="AX7" s="31" t="s">
        <v>27</v>
      </c>
      <c r="AY7" s="17">
        <f>SUM(AY2:AY6)</f>
        <v>6</v>
      </c>
      <c r="AZ7" s="106"/>
      <c r="BQ7" s="26"/>
      <c r="BR7" s="31" t="s">
        <v>27</v>
      </c>
      <c r="BS7" s="17">
        <f>SUM(BS2:BS6)</f>
        <v>6</v>
      </c>
      <c r="BT7" s="106"/>
      <c r="CK7" s="26"/>
      <c r="CM7" s="31" t="s">
        <v>27</v>
      </c>
      <c r="CN7" s="17">
        <f>SUM(CN2:CN6)</f>
        <v>6</v>
      </c>
      <c r="CP7" s="29"/>
      <c r="CQ7" s="29"/>
      <c r="CR7" s="29"/>
      <c r="CS7" s="29"/>
      <c r="CT7" s="29"/>
      <c r="CV7" s="29"/>
      <c r="CW7" s="29"/>
      <c r="CX7" s="29"/>
      <c r="CY7" s="29"/>
      <c r="CZ7" s="29"/>
      <c r="DA7" s="29"/>
      <c r="DB7" s="29"/>
      <c r="DC7" s="29"/>
      <c r="DD7" s="29"/>
      <c r="DG7" s="31" t="s">
        <v>27</v>
      </c>
      <c r="DH7" s="17">
        <f>SUM(DH2:DH6)</f>
        <v>6</v>
      </c>
      <c r="EH7" s="27"/>
      <c r="EI7" s="31" t="s">
        <v>27</v>
      </c>
      <c r="EJ7" s="17">
        <f>SUM(EJ2:EJ6)</f>
        <v>6</v>
      </c>
      <c r="EK7" s="27"/>
      <c r="EL7" s="27"/>
    </row>
    <row r="8" spans="1:142" ht="17.25" customHeight="1">
      <c r="A8" s="237" t="s">
        <v>1</v>
      </c>
      <c r="B8" s="238"/>
      <c r="C8" s="238"/>
      <c r="D8" s="267" t="s">
        <v>73</v>
      </c>
      <c r="E8" s="268"/>
      <c r="F8" s="268"/>
      <c r="G8" s="268"/>
      <c r="H8" s="176"/>
      <c r="I8" s="176"/>
      <c r="J8" s="176"/>
      <c r="K8" s="176"/>
      <c r="L8" s="176"/>
      <c r="M8" s="176"/>
      <c r="N8" s="176"/>
      <c r="O8" s="177"/>
      <c r="P8" s="259" t="s">
        <v>30</v>
      </c>
      <c r="Q8" s="259"/>
      <c r="R8" s="259"/>
      <c r="S8" s="259"/>
      <c r="T8" s="259"/>
      <c r="U8" s="259"/>
      <c r="V8" s="259"/>
      <c r="W8" s="259"/>
      <c r="X8" s="259"/>
      <c r="Y8" s="259"/>
      <c r="Z8" s="259"/>
      <c r="AA8" s="259"/>
      <c r="AB8" s="259"/>
      <c r="AC8" s="259"/>
      <c r="AD8" s="259"/>
      <c r="AE8" s="259"/>
      <c r="AF8" s="260" t="s">
        <v>3</v>
      </c>
      <c r="AG8" s="253" t="s">
        <v>74</v>
      </c>
      <c r="AH8" s="253" t="s">
        <v>63</v>
      </c>
      <c r="AI8" s="10"/>
      <c r="AJ8" s="10"/>
      <c r="AK8" s="254"/>
      <c r="AL8" s="254"/>
      <c r="AM8" s="254"/>
      <c r="AN8" s="254"/>
      <c r="AO8" s="254"/>
      <c r="AP8" s="254"/>
      <c r="AQ8" s="254"/>
      <c r="AR8" s="254"/>
      <c r="AS8" s="254"/>
      <c r="AT8" s="254"/>
      <c r="AU8" s="254"/>
      <c r="AV8" s="254"/>
      <c r="AW8" s="36"/>
      <c r="AX8" s="33"/>
      <c r="AY8" s="33"/>
      <c r="AZ8" s="33"/>
      <c r="BA8" s="2"/>
      <c r="BB8" s="254" t="s">
        <v>32</v>
      </c>
      <c r="BC8" s="254"/>
      <c r="BD8" s="254"/>
      <c r="BE8" s="254"/>
      <c r="BF8" s="254"/>
      <c r="BG8" s="254"/>
      <c r="BH8" s="254"/>
      <c r="BI8" s="254"/>
      <c r="BJ8" s="254"/>
      <c r="BK8" s="254"/>
      <c r="BL8" s="254"/>
      <c r="BM8" s="254"/>
      <c r="BN8" s="254"/>
      <c r="BO8" s="33"/>
      <c r="BP8" s="34"/>
      <c r="BQ8" s="110"/>
      <c r="BR8" s="35"/>
      <c r="BS8" s="33"/>
      <c r="BT8" s="33"/>
      <c r="BU8" s="19"/>
      <c r="BV8" s="2"/>
      <c r="BW8" s="2"/>
      <c r="BX8" s="2"/>
      <c r="BY8" s="2"/>
      <c r="BZ8" s="2"/>
      <c r="CA8" s="2"/>
      <c r="CB8" s="2"/>
      <c r="CC8" s="2"/>
      <c r="CD8" s="2"/>
      <c r="CE8" s="2"/>
      <c r="CF8" s="2"/>
      <c r="CG8" s="2"/>
      <c r="CH8" s="2"/>
      <c r="CI8" s="2"/>
      <c r="CJ8" s="2"/>
      <c r="CK8" s="110"/>
      <c r="CL8" s="2"/>
      <c r="CM8" s="2"/>
      <c r="CN8" s="35"/>
      <c r="CO8" s="35"/>
      <c r="CP8" s="130"/>
      <c r="CQ8" s="130"/>
      <c r="CR8" s="130"/>
      <c r="CS8" s="130"/>
      <c r="CT8" s="130"/>
      <c r="CU8" s="2"/>
      <c r="CV8" s="130"/>
      <c r="CW8" s="130"/>
      <c r="CX8" s="130"/>
      <c r="CY8" s="130"/>
      <c r="CZ8" s="130"/>
      <c r="DA8" s="130"/>
      <c r="DB8" s="130"/>
      <c r="DC8" s="130"/>
      <c r="DD8" s="130"/>
      <c r="DE8" s="35"/>
      <c r="DF8" s="36"/>
      <c r="DG8" s="36"/>
      <c r="DH8" s="37"/>
      <c r="DI8" s="19"/>
      <c r="DJ8" s="19"/>
      <c r="DK8" s="19"/>
      <c r="DL8" s="19"/>
      <c r="DM8" s="19"/>
      <c r="DN8" s="19"/>
      <c r="DO8" s="19"/>
      <c r="DP8" s="19"/>
      <c r="DQ8" s="19"/>
      <c r="DR8" s="19"/>
      <c r="DS8" s="19"/>
      <c r="DT8" s="19"/>
      <c r="DU8" s="19"/>
      <c r="DV8" s="19"/>
      <c r="DW8" s="19"/>
      <c r="DX8" s="19"/>
      <c r="DY8" s="19"/>
      <c r="DZ8" s="19"/>
      <c r="EA8" s="19"/>
      <c r="EB8" s="19"/>
      <c r="EC8" s="19"/>
      <c r="ED8" s="19"/>
      <c r="EE8" s="19"/>
      <c r="EF8" s="19"/>
      <c r="EG8" s="19"/>
    </row>
    <row r="9" spans="1:142" ht="85.5" customHeight="1">
      <c r="A9" s="239"/>
      <c r="B9" s="240"/>
      <c r="C9" s="240"/>
      <c r="D9" s="255" t="s">
        <v>61</v>
      </c>
      <c r="E9" s="256"/>
      <c r="F9" s="256"/>
      <c r="G9" s="257"/>
      <c r="H9" s="244" t="s">
        <v>79</v>
      </c>
      <c r="I9" s="245"/>
      <c r="J9" s="245"/>
      <c r="K9" s="246"/>
      <c r="L9" s="244" t="s">
        <v>67</v>
      </c>
      <c r="M9" s="245"/>
      <c r="N9" s="245"/>
      <c r="O9" s="246"/>
      <c r="P9" s="244" t="s">
        <v>68</v>
      </c>
      <c r="Q9" s="245"/>
      <c r="R9" s="245"/>
      <c r="S9" s="246"/>
      <c r="T9" s="244" t="s">
        <v>70</v>
      </c>
      <c r="U9" s="245"/>
      <c r="V9" s="245"/>
      <c r="W9" s="246"/>
      <c r="X9" s="244" t="s">
        <v>80</v>
      </c>
      <c r="Y9" s="245"/>
      <c r="Z9" s="245"/>
      <c r="AA9" s="246"/>
      <c r="AB9" s="244" t="s">
        <v>81</v>
      </c>
      <c r="AC9" s="245"/>
      <c r="AD9" s="245"/>
      <c r="AE9" s="246"/>
      <c r="AF9" s="260"/>
      <c r="AG9" s="253"/>
      <c r="AH9" s="253"/>
      <c r="AI9" s="10"/>
      <c r="AJ9" s="10"/>
      <c r="AK9" s="250" t="s">
        <v>19</v>
      </c>
      <c r="AL9" s="251"/>
      <c r="AM9" s="251"/>
      <c r="AN9" s="251"/>
      <c r="AO9" s="251"/>
      <c r="AP9" s="251"/>
      <c r="AQ9" s="252"/>
      <c r="AR9" s="258" t="s">
        <v>4</v>
      </c>
      <c r="AS9" s="258"/>
      <c r="AT9" s="258"/>
      <c r="AU9" s="258"/>
      <c r="AV9" s="258"/>
      <c r="AW9" s="101"/>
      <c r="AX9" s="235" t="s">
        <v>33</v>
      </c>
      <c r="AY9" s="236"/>
      <c r="AZ9" s="236"/>
      <c r="BA9" s="2"/>
      <c r="BB9" s="241" t="s">
        <v>37</v>
      </c>
      <c r="BC9" s="242"/>
      <c r="BD9" s="242"/>
      <c r="BE9" s="242"/>
      <c r="BF9" s="242"/>
      <c r="BG9" s="242"/>
      <c r="BH9" s="242"/>
      <c r="BI9" s="242"/>
      <c r="BJ9" s="242"/>
      <c r="BK9" s="242"/>
      <c r="BL9" s="242"/>
      <c r="BM9" s="242"/>
      <c r="BN9" s="242"/>
      <c r="BO9" s="242"/>
      <c r="BP9" s="243"/>
      <c r="BQ9" s="111"/>
      <c r="BR9" s="235" t="s">
        <v>39</v>
      </c>
      <c r="BS9" s="236"/>
      <c r="BT9" s="236"/>
      <c r="BU9" s="39"/>
      <c r="BV9" s="247" t="s">
        <v>40</v>
      </c>
      <c r="BW9" s="247"/>
      <c r="BX9" s="247"/>
      <c r="BY9" s="247"/>
      <c r="BZ9" s="247"/>
      <c r="CA9" s="247"/>
      <c r="CB9" s="247"/>
      <c r="CC9" s="247"/>
      <c r="CD9" s="247"/>
      <c r="CE9" s="247"/>
      <c r="CF9" s="247"/>
      <c r="CG9" s="247"/>
      <c r="CH9" s="247"/>
      <c r="CI9" s="247"/>
      <c r="CJ9" s="248"/>
      <c r="CK9" s="111"/>
      <c r="CL9" s="235" t="s">
        <v>43</v>
      </c>
      <c r="CM9" s="236"/>
      <c r="CN9" s="236"/>
      <c r="CO9" s="38"/>
      <c r="CP9" s="249" t="s">
        <v>41</v>
      </c>
      <c r="CQ9" s="249"/>
      <c r="CR9" s="249"/>
      <c r="CS9" s="249"/>
      <c r="CT9" s="249"/>
      <c r="CU9" s="249"/>
      <c r="CV9" s="249"/>
      <c r="CW9" s="249"/>
      <c r="CX9" s="249"/>
      <c r="CY9" s="249"/>
      <c r="CZ9" s="249"/>
      <c r="DA9" s="249"/>
      <c r="DB9" s="249"/>
      <c r="DC9" s="249"/>
      <c r="DD9" s="249"/>
      <c r="DE9" s="38"/>
      <c r="DF9" s="235" t="s">
        <v>44</v>
      </c>
      <c r="DG9" s="236"/>
      <c r="DH9" s="236"/>
      <c r="DI9" s="39"/>
      <c r="DJ9" s="39"/>
      <c r="DK9" s="39"/>
      <c r="DL9" s="39"/>
      <c r="DM9" s="39"/>
      <c r="DN9" s="39"/>
      <c r="DO9" s="39"/>
      <c r="DP9" s="39"/>
      <c r="DQ9" s="39"/>
      <c r="DR9" s="39"/>
      <c r="DS9" s="39"/>
      <c r="DT9" s="39"/>
      <c r="DU9" s="39"/>
      <c r="DV9" s="39"/>
      <c r="DW9" s="39"/>
      <c r="DX9" s="39"/>
      <c r="DY9" s="39"/>
      <c r="DZ9" s="39"/>
      <c r="EA9" s="39"/>
      <c r="EB9" s="39"/>
      <c r="EC9" s="39"/>
      <c r="ED9" s="235" t="s">
        <v>45</v>
      </c>
      <c r="EE9" s="236"/>
      <c r="EF9" s="236"/>
      <c r="EG9" s="39"/>
      <c r="EH9" s="233" t="s">
        <v>42</v>
      </c>
      <c r="EI9" s="234"/>
      <c r="EJ9" s="234"/>
    </row>
    <row r="10" spans="1:142" ht="121.5" customHeight="1">
      <c r="A10" s="97" t="s">
        <v>10</v>
      </c>
      <c r="B10" s="90" t="s">
        <v>2</v>
      </c>
      <c r="C10" s="90" t="s">
        <v>25</v>
      </c>
      <c r="D10" s="40" t="s">
        <v>55</v>
      </c>
      <c r="E10" s="40" t="s">
        <v>56</v>
      </c>
      <c r="F10" s="40" t="s">
        <v>57</v>
      </c>
      <c r="G10" s="40" t="s">
        <v>58</v>
      </c>
      <c r="H10" s="40" t="s">
        <v>55</v>
      </c>
      <c r="I10" s="40" t="s">
        <v>56</v>
      </c>
      <c r="J10" s="40" t="s">
        <v>57</v>
      </c>
      <c r="K10" s="40" t="s">
        <v>58</v>
      </c>
      <c r="L10" s="40" t="s">
        <v>55</v>
      </c>
      <c r="M10" s="40" t="s">
        <v>56</v>
      </c>
      <c r="N10" s="40" t="s">
        <v>57</v>
      </c>
      <c r="O10" s="40" t="s">
        <v>58</v>
      </c>
      <c r="P10" s="40" t="s">
        <v>55</v>
      </c>
      <c r="Q10" s="40" t="s">
        <v>56</v>
      </c>
      <c r="R10" s="40" t="s">
        <v>57</v>
      </c>
      <c r="S10" s="40" t="s">
        <v>58</v>
      </c>
      <c r="T10" s="40" t="s">
        <v>55</v>
      </c>
      <c r="U10" s="40" t="s">
        <v>56</v>
      </c>
      <c r="V10" s="40" t="s">
        <v>57</v>
      </c>
      <c r="W10" s="40" t="s">
        <v>58</v>
      </c>
      <c r="X10" s="40" t="s">
        <v>55</v>
      </c>
      <c r="Y10" s="40" t="s">
        <v>56</v>
      </c>
      <c r="Z10" s="40" t="s">
        <v>57</v>
      </c>
      <c r="AA10" s="40" t="s">
        <v>58</v>
      </c>
      <c r="AB10" s="40" t="s">
        <v>55</v>
      </c>
      <c r="AC10" s="40" t="s">
        <v>56</v>
      </c>
      <c r="AD10" s="40" t="s">
        <v>57</v>
      </c>
      <c r="AE10" s="40" t="s">
        <v>58</v>
      </c>
      <c r="AF10" s="260"/>
      <c r="AG10" s="253"/>
      <c r="AH10" s="253"/>
      <c r="AI10" s="10"/>
      <c r="AJ10" s="10"/>
      <c r="AK10" s="100" t="str">
        <f>D9</f>
        <v>CONTRATO TT-104-2025 ajustados con IPC 2025 (5,10%)</v>
      </c>
      <c r="AL10" s="100" t="str">
        <f>H9</f>
        <v>COTIZACION 1</v>
      </c>
      <c r="AM10" s="100" t="str">
        <f>L9</f>
        <v>COTIZACIÓN 2</v>
      </c>
      <c r="AN10" s="100" t="str">
        <f>P9</f>
        <v>COTIZACIÓN 3</v>
      </c>
      <c r="AO10" s="100" t="str">
        <f>T9</f>
        <v>COTIZACIÓN 4</v>
      </c>
      <c r="AP10" s="100" t="str">
        <f>+X9</f>
        <v>COTIZACIÓN 5</v>
      </c>
      <c r="AQ10" s="100" t="str">
        <f>AB9</f>
        <v>COTIZACIÓN 6</v>
      </c>
      <c r="AR10" s="41" t="s">
        <v>5</v>
      </c>
      <c r="AS10" s="41" t="s">
        <v>6</v>
      </c>
      <c r="AT10" s="41" t="s">
        <v>7</v>
      </c>
      <c r="AU10" s="41" t="s">
        <v>8</v>
      </c>
      <c r="AV10" s="41" t="s">
        <v>9</v>
      </c>
      <c r="AW10" s="102"/>
      <c r="AX10" s="104" t="s">
        <v>34</v>
      </c>
      <c r="AY10" s="104" t="s">
        <v>35</v>
      </c>
      <c r="AZ10" s="104" t="s">
        <v>36</v>
      </c>
      <c r="BA10" s="2"/>
      <c r="BB10" s="108" t="str">
        <f t="shared" ref="BB10:BG10" si="0">AK10</f>
        <v>CONTRATO TT-104-2025 ajustados con IPC 2025 (5,10%)</v>
      </c>
      <c r="BC10" s="108" t="str">
        <f t="shared" si="0"/>
        <v>COTIZACION 1</v>
      </c>
      <c r="BD10" s="108" t="str">
        <f t="shared" si="0"/>
        <v>COTIZACIÓN 2</v>
      </c>
      <c r="BE10" s="108" t="str">
        <f t="shared" si="0"/>
        <v>COTIZACIÓN 3</v>
      </c>
      <c r="BF10" s="108" t="str">
        <f t="shared" si="0"/>
        <v>COTIZACIÓN 4</v>
      </c>
      <c r="BG10" s="108" t="str">
        <f t="shared" si="0"/>
        <v>COTIZACIÓN 5</v>
      </c>
      <c r="BH10" s="108" t="str">
        <f t="shared" ref="BH10" si="1">AQ10</f>
        <v>COTIZACIÓN 6</v>
      </c>
      <c r="BI10" s="109" t="s">
        <v>38</v>
      </c>
      <c r="BJ10" s="108" t="str">
        <f t="shared" ref="BJ10:BO10" si="2">BB10</f>
        <v>CONTRATO TT-104-2025 ajustados con IPC 2025 (5,10%)</v>
      </c>
      <c r="BK10" s="108" t="str">
        <f t="shared" si="2"/>
        <v>COTIZACION 1</v>
      </c>
      <c r="BL10" s="108" t="str">
        <f t="shared" si="2"/>
        <v>COTIZACIÓN 2</v>
      </c>
      <c r="BM10" s="108" t="str">
        <f t="shared" si="2"/>
        <v>COTIZACIÓN 3</v>
      </c>
      <c r="BN10" s="108" t="str">
        <f t="shared" si="2"/>
        <v>COTIZACIÓN 4</v>
      </c>
      <c r="BO10" s="108" t="str">
        <f t="shared" si="2"/>
        <v>COTIZACIÓN 5</v>
      </c>
      <c r="BP10" s="108" t="str">
        <f t="shared" ref="BP10" si="3">BH10</f>
        <v>COTIZACIÓN 6</v>
      </c>
      <c r="BQ10" s="112"/>
      <c r="BR10" s="104" t="s">
        <v>34</v>
      </c>
      <c r="BS10" s="104" t="s">
        <v>35</v>
      </c>
      <c r="BT10" s="104" t="s">
        <v>36</v>
      </c>
      <c r="BU10" s="43"/>
      <c r="BV10" s="115" t="str">
        <f>BB10</f>
        <v>CONTRATO TT-104-2025 ajustados con IPC 2025 (5,10%)</v>
      </c>
      <c r="BW10" s="115" t="str">
        <f>BC10</f>
        <v>COTIZACION 1</v>
      </c>
      <c r="BX10" s="115" t="str">
        <f>BD10</f>
        <v>COTIZACIÓN 2</v>
      </c>
      <c r="BY10" s="115" t="str">
        <f>BE10</f>
        <v>COTIZACIÓN 3</v>
      </c>
      <c r="BZ10" s="115" t="str">
        <f>BF10</f>
        <v>COTIZACIÓN 4</v>
      </c>
      <c r="CA10" s="115" t="str">
        <f t="shared" ref="CA10:CB10" si="4">BG10</f>
        <v>COTIZACIÓN 5</v>
      </c>
      <c r="CB10" s="115" t="str">
        <f t="shared" si="4"/>
        <v>COTIZACIÓN 6</v>
      </c>
      <c r="CC10" s="116" t="str">
        <f t="shared" ref="CC10:CH10" si="5">BI10</f>
        <v>MAX</v>
      </c>
      <c r="CD10" s="115" t="str">
        <f t="shared" si="5"/>
        <v>CONTRATO TT-104-2025 ajustados con IPC 2025 (5,10%)</v>
      </c>
      <c r="CE10" s="115" t="str">
        <f t="shared" si="5"/>
        <v>COTIZACION 1</v>
      </c>
      <c r="CF10" s="115" t="str">
        <f t="shared" si="5"/>
        <v>COTIZACIÓN 2</v>
      </c>
      <c r="CG10" s="115" t="str">
        <f t="shared" si="5"/>
        <v>COTIZACIÓN 3</v>
      </c>
      <c r="CH10" s="115" t="str">
        <f t="shared" si="5"/>
        <v>COTIZACIÓN 4</v>
      </c>
      <c r="CI10" s="115" t="str">
        <f t="shared" ref="CI10:CJ10" si="6">BO10</f>
        <v>COTIZACIÓN 5</v>
      </c>
      <c r="CJ10" s="115" t="str">
        <f t="shared" si="6"/>
        <v>COTIZACIÓN 6</v>
      </c>
      <c r="CK10" s="111"/>
      <c r="CL10" s="104" t="s">
        <v>34</v>
      </c>
      <c r="CM10" s="104" t="s">
        <v>35</v>
      </c>
      <c r="CN10" s="104" t="s">
        <v>36</v>
      </c>
      <c r="CO10" s="42"/>
      <c r="CP10" s="163" t="str">
        <f t="shared" ref="CP10:DC10" si="7">BV10</f>
        <v>CONTRATO TT-104-2025 ajustados con IPC 2025 (5,10%)</v>
      </c>
      <c r="CQ10" s="163" t="str">
        <f t="shared" si="7"/>
        <v>COTIZACION 1</v>
      </c>
      <c r="CR10" s="163" t="str">
        <f t="shared" si="7"/>
        <v>COTIZACIÓN 2</v>
      </c>
      <c r="CS10" s="163" t="str">
        <f t="shared" si="7"/>
        <v>COTIZACIÓN 3</v>
      </c>
      <c r="CT10" s="163" t="str">
        <f t="shared" si="7"/>
        <v>COTIZACIÓN 4</v>
      </c>
      <c r="CU10" s="163" t="str">
        <f t="shared" si="7"/>
        <v>COTIZACIÓN 5</v>
      </c>
      <c r="CV10" s="163" t="str">
        <f t="shared" si="7"/>
        <v>COTIZACIÓN 6</v>
      </c>
      <c r="CW10" s="131" t="str">
        <f t="shared" si="7"/>
        <v>MAX</v>
      </c>
      <c r="CX10" s="163" t="str">
        <f t="shared" si="7"/>
        <v>CONTRATO TT-104-2025 ajustados con IPC 2025 (5,10%)</v>
      </c>
      <c r="CY10" s="163" t="str">
        <f t="shared" si="7"/>
        <v>COTIZACION 1</v>
      </c>
      <c r="CZ10" s="163" t="str">
        <f t="shared" si="7"/>
        <v>COTIZACIÓN 2</v>
      </c>
      <c r="DA10" s="163" t="str">
        <f t="shared" si="7"/>
        <v>COTIZACIÓN 3</v>
      </c>
      <c r="DB10" s="163" t="str">
        <f t="shared" si="7"/>
        <v>COTIZACIÓN 4</v>
      </c>
      <c r="DC10" s="163" t="str">
        <f t="shared" si="7"/>
        <v>COTIZACIÓN 5</v>
      </c>
      <c r="DD10" s="163" t="str">
        <f t="shared" ref="DD10" si="8">CJ10</f>
        <v>COTIZACIÓN 6</v>
      </c>
      <c r="DE10" s="42"/>
      <c r="DF10" s="104" t="s">
        <v>34</v>
      </c>
      <c r="DG10" s="104" t="s">
        <v>35</v>
      </c>
      <c r="DH10" s="104" t="s">
        <v>36</v>
      </c>
      <c r="DI10" s="43"/>
      <c r="DJ10" s="142" t="str">
        <f>CX10</f>
        <v>CONTRATO TT-104-2025 ajustados con IPC 2025 (5,10%)</v>
      </c>
      <c r="DK10" s="142" t="str">
        <f>CY10</f>
        <v>COTIZACION 1</v>
      </c>
      <c r="DL10" s="142" t="str">
        <f>CZ10</f>
        <v>COTIZACIÓN 2</v>
      </c>
      <c r="DM10" s="142" t="str">
        <f>DA10</f>
        <v>COTIZACIÓN 3</v>
      </c>
      <c r="DN10" s="142" t="str">
        <f>DB10</f>
        <v>COTIZACIÓN 4</v>
      </c>
      <c r="DO10" s="142" t="e">
        <f>#REF!</f>
        <v>#REF!</v>
      </c>
      <c r="DP10" s="142" t="e">
        <f>#REF!</f>
        <v>#REF!</v>
      </c>
      <c r="DQ10" s="142" t="e">
        <f>#REF!</f>
        <v>#REF!</v>
      </c>
      <c r="DR10" s="142" t="str">
        <f>DD10</f>
        <v>COTIZACIÓN 6</v>
      </c>
      <c r="DS10" s="143" t="s">
        <v>38</v>
      </c>
      <c r="DT10" s="143"/>
      <c r="DU10" s="142" t="str">
        <f>DJ10</f>
        <v>CONTRATO TT-104-2025 ajustados con IPC 2025 (5,10%)</v>
      </c>
      <c r="DV10" s="142" t="str">
        <f t="shared" ref="DV10:EB10" si="9">DK10</f>
        <v>COTIZACION 1</v>
      </c>
      <c r="DW10" s="142" t="str">
        <f t="shared" si="9"/>
        <v>COTIZACIÓN 2</v>
      </c>
      <c r="DX10" s="142" t="str">
        <f t="shared" si="9"/>
        <v>COTIZACIÓN 3</v>
      </c>
      <c r="DY10" s="142" t="str">
        <f t="shared" si="9"/>
        <v>COTIZACIÓN 4</v>
      </c>
      <c r="DZ10" s="142" t="e">
        <f t="shared" si="9"/>
        <v>#REF!</v>
      </c>
      <c r="EA10" s="142" t="e">
        <f t="shared" si="9"/>
        <v>#REF!</v>
      </c>
      <c r="EB10" s="142" t="e">
        <f t="shared" si="9"/>
        <v>#REF!</v>
      </c>
      <c r="EC10" s="142" t="str">
        <f>DR10</f>
        <v>COTIZACIÓN 6</v>
      </c>
      <c r="ED10" s="104" t="s">
        <v>34</v>
      </c>
      <c r="EE10" s="104" t="s">
        <v>35</v>
      </c>
      <c r="EF10" s="122" t="s">
        <v>36</v>
      </c>
      <c r="EG10" s="43"/>
      <c r="EH10" s="120" t="s">
        <v>34</v>
      </c>
      <c r="EI10" s="120" t="s">
        <v>35</v>
      </c>
      <c r="EJ10" s="122" t="s">
        <v>36</v>
      </c>
    </row>
    <row r="11" spans="1:142" s="55" customFormat="1" ht="117.75" customHeight="1">
      <c r="A11" s="91">
        <v>1</v>
      </c>
      <c r="B11" s="87" t="s">
        <v>49</v>
      </c>
      <c r="C11" s="4" t="s">
        <v>24</v>
      </c>
      <c r="D11" s="148">
        <v>21121</v>
      </c>
      <c r="E11" s="148">
        <f>+D11*19%</f>
        <v>4012.9900000000002</v>
      </c>
      <c r="F11" s="148">
        <f>+D11+E11</f>
        <v>25133.99</v>
      </c>
      <c r="G11" s="148">
        <f t="shared" ref="G11:G16" si="10">F11*AF11</f>
        <v>27647389</v>
      </c>
      <c r="H11" s="148">
        <v>8493</v>
      </c>
      <c r="I11" s="148" t="s">
        <v>59</v>
      </c>
      <c r="J11" s="148">
        <f>+H11</f>
        <v>8493</v>
      </c>
      <c r="K11" s="149">
        <f t="shared" ref="K11:K16" si="11">J11*AF11</f>
        <v>9342300</v>
      </c>
      <c r="L11" s="150">
        <v>9200</v>
      </c>
      <c r="M11" s="150">
        <f>ROUND(L11*19%,0)</f>
        <v>1748</v>
      </c>
      <c r="N11" s="150">
        <f>L11+M11</f>
        <v>10948</v>
      </c>
      <c r="O11" s="150">
        <f t="shared" ref="O11:O16" si="12">N11*AF11</f>
        <v>12042800</v>
      </c>
      <c r="P11" s="150">
        <v>17500</v>
      </c>
      <c r="Q11" s="150" t="s">
        <v>60</v>
      </c>
      <c r="R11" s="150">
        <f>+P11</f>
        <v>17500</v>
      </c>
      <c r="S11" s="150">
        <f t="shared" ref="S11:S16" si="13">R11*AF11</f>
        <v>19250000</v>
      </c>
      <c r="T11" s="150">
        <v>14977</v>
      </c>
      <c r="U11" s="150">
        <f>ROUND(T11*19%,0)</f>
        <v>2846</v>
      </c>
      <c r="V11" s="150">
        <f>T11+U11</f>
        <v>17823</v>
      </c>
      <c r="W11" s="150">
        <f t="shared" ref="W11:W16" si="14">V11*AF11</f>
        <v>19605300</v>
      </c>
      <c r="X11" s="149">
        <v>23500</v>
      </c>
      <c r="Y11" s="149">
        <f>ROUND(X11*19%,0)</f>
        <v>4465</v>
      </c>
      <c r="Z11" s="149">
        <f>X11+Y11</f>
        <v>27965</v>
      </c>
      <c r="AA11" s="149">
        <f>Z11*AF11</f>
        <v>30761500</v>
      </c>
      <c r="AB11" s="150">
        <v>17500</v>
      </c>
      <c r="AC11" s="150" t="s">
        <v>59</v>
      </c>
      <c r="AD11" s="150">
        <f>AB11</f>
        <v>17500</v>
      </c>
      <c r="AE11" s="150">
        <f>AD11*AF11</f>
        <v>19250000</v>
      </c>
      <c r="AF11" s="88">
        <v>1100</v>
      </c>
      <c r="AG11" s="45">
        <f>ROUND(AVERAGE(N11,R11,V11,AD11),0)</f>
        <v>15943</v>
      </c>
      <c r="AH11" s="45">
        <f>+AG11*AF11</f>
        <v>17537300</v>
      </c>
      <c r="AI11" s="46"/>
      <c r="AJ11" s="46"/>
      <c r="AK11" s="6">
        <f t="shared" ref="AK11:AK16" si="15">IF(F11=0,"",F11)</f>
        <v>25133.99</v>
      </c>
      <c r="AL11" s="6">
        <f t="shared" ref="AL11:AL16" si="16">IF(J11=0,"",J11)</f>
        <v>8493</v>
      </c>
      <c r="AM11" s="6">
        <f t="shared" ref="AM11:AM16" si="17">IF(N11=0,"",N11)</f>
        <v>10948</v>
      </c>
      <c r="AN11" s="6">
        <f t="shared" ref="AN11:AN16" si="18">IF(R11=0,"",R11)</f>
        <v>17500</v>
      </c>
      <c r="AO11" s="6">
        <f t="shared" ref="AO11:AO16" si="19">IF(V11=0,"",V11)</f>
        <v>17823</v>
      </c>
      <c r="AP11" s="6">
        <f t="shared" ref="AP11:AP16" si="20">IF(Z11=0,"",Z11)</f>
        <v>27965</v>
      </c>
      <c r="AQ11" s="6">
        <f t="shared" ref="AQ11:AQ16" si="21">IF(AD11=0,"",AD11)</f>
        <v>17500</v>
      </c>
      <c r="AR11" s="48">
        <f>_xlfn.QUARTILE.EXC(AK11:AQ11,1)</f>
        <v>10948</v>
      </c>
      <c r="AS11" s="48">
        <f>_xlfn.QUARTILE.EXC(AK11:AQ11,3)</f>
        <v>25133.99</v>
      </c>
      <c r="AT11" s="53">
        <f>AS11-AR11</f>
        <v>14185.990000000002</v>
      </c>
      <c r="AU11" s="48">
        <f>AR11-AT11*0.3</f>
        <v>6692.2029999999995</v>
      </c>
      <c r="AV11" s="48">
        <f>AS11+AT11*0.3</f>
        <v>29389.787000000004</v>
      </c>
      <c r="AW11" s="30"/>
      <c r="AX11" s="48">
        <f>AVERAGE(AK11:AQ11)</f>
        <v>17908.998571428572</v>
      </c>
      <c r="AY11" s="107">
        <f>_xlfn.STDEV.P(AK11:AQ11)</f>
        <v>6445.177061738108</v>
      </c>
      <c r="AZ11" s="47">
        <f>AY11/AX11</f>
        <v>0.35988483867660426</v>
      </c>
      <c r="BA11" s="49"/>
      <c r="BB11" s="6">
        <f t="shared" ref="BB11:BH11" si="22">ABS($AX11-AK11)</f>
        <v>7224.9914285714294</v>
      </c>
      <c r="BC11" s="6">
        <f t="shared" si="22"/>
        <v>9415.9985714285722</v>
      </c>
      <c r="BD11" s="6">
        <f t="shared" si="22"/>
        <v>6960.9985714285722</v>
      </c>
      <c r="BE11" s="6">
        <f t="shared" si="22"/>
        <v>408.99857142857218</v>
      </c>
      <c r="BF11" s="6">
        <f t="shared" si="22"/>
        <v>85.998571428572177</v>
      </c>
      <c r="BG11" s="6">
        <f t="shared" si="22"/>
        <v>10056.001428571428</v>
      </c>
      <c r="BH11" s="6">
        <f t="shared" si="22"/>
        <v>408.99857142857218</v>
      </c>
      <c r="BI11" s="6">
        <f>MAX(BB11:BH11)</f>
        <v>10056.001428571428</v>
      </c>
      <c r="BJ11" s="48">
        <f t="shared" ref="BJ11:BP11" si="23">IF(BB11=$BI11,"",AK11)</f>
        <v>25133.99</v>
      </c>
      <c r="BK11" s="48">
        <f t="shared" si="23"/>
        <v>8493</v>
      </c>
      <c r="BL11" s="48">
        <f t="shared" si="23"/>
        <v>10948</v>
      </c>
      <c r="BM11" s="48">
        <f t="shared" si="23"/>
        <v>17500</v>
      </c>
      <c r="BN11" s="48">
        <f t="shared" si="23"/>
        <v>17823</v>
      </c>
      <c r="BO11" s="48" t="str">
        <f t="shared" si="23"/>
        <v/>
      </c>
      <c r="BP11" s="48">
        <f t="shared" si="23"/>
        <v>17500</v>
      </c>
      <c r="BQ11" s="57"/>
      <c r="BR11" s="113">
        <f>AVERAGE(BJ11:BP11)</f>
        <v>16232.998333333335</v>
      </c>
      <c r="BS11" s="113">
        <f>_xlfn.STDEV.P(BJ11:BP11)</f>
        <v>5366.6427429086343</v>
      </c>
      <c r="BT11" s="126">
        <f>BS11/BR11</f>
        <v>0.33060083126409284</v>
      </c>
      <c r="BU11" s="51"/>
      <c r="BV11" s="6">
        <f>ABS($BR11-BJ11)</f>
        <v>8900.9916666666668</v>
      </c>
      <c r="BW11" s="6">
        <f>ABS($BR11-BK11)</f>
        <v>7739.9983333333348</v>
      </c>
      <c r="BX11" s="6">
        <f>ABS($BR11-BL11)</f>
        <v>5284.9983333333348</v>
      </c>
      <c r="BY11" s="6">
        <f>ABS($BR11-BM11)</f>
        <v>1267.0016666666652</v>
      </c>
      <c r="BZ11" s="6">
        <f>ABS($BR11-BN11)</f>
        <v>1590.0016666666652</v>
      </c>
      <c r="CA11" s="6"/>
      <c r="CB11" s="6">
        <f t="shared" ref="CB11" si="24">ABS($BR11-BP11)</f>
        <v>1267.0016666666652</v>
      </c>
      <c r="CC11" s="7">
        <f t="shared" ref="CC11:CC16" si="25">MAX(BV11:CB11)</f>
        <v>8900.9916666666668</v>
      </c>
      <c r="CD11" s="7" t="str">
        <f>IF(BV11=$CC11,"",BJ11)</f>
        <v/>
      </c>
      <c r="CE11" s="7">
        <f>IF(BW11=$CC11,"",BK11)</f>
        <v>8493</v>
      </c>
      <c r="CF11" s="7">
        <f>IF(BX11=$CC11,"",BL11)</f>
        <v>10948</v>
      </c>
      <c r="CG11" s="7">
        <f>IF(BY11=$CC11,"",BM11)</f>
        <v>17500</v>
      </c>
      <c r="CH11" s="7">
        <f>IF(BZ11=$CC11,"",BN11)</f>
        <v>17823</v>
      </c>
      <c r="CI11" s="7" t="str">
        <f t="shared" ref="CI11:CJ16" si="26">IF(CA11=$CC11,"",BO11)</f>
        <v/>
      </c>
      <c r="CJ11" s="7">
        <f t="shared" si="26"/>
        <v>17500</v>
      </c>
      <c r="CK11" s="117"/>
      <c r="CL11" s="138">
        <f>AVERAGE(CD11:CJ11)</f>
        <v>14452.8</v>
      </c>
      <c r="CM11" s="138">
        <f>_xlfn.STDEV.P(CD11:CJ11)</f>
        <v>3942.8908886754652</v>
      </c>
      <c r="CN11" s="141">
        <f>CM11/CL11</f>
        <v>0.2728115582223144</v>
      </c>
      <c r="CO11" s="50"/>
      <c r="CP11" s="164"/>
      <c r="CQ11" s="164">
        <f>ABS($CL11-CE11)</f>
        <v>5959.7999999999993</v>
      </c>
      <c r="CR11" s="147">
        <f>ABS($CL11-CF11)</f>
        <v>3504.7999999999993</v>
      </c>
      <c r="CS11" s="147">
        <f>ABS($CL11-CG11)</f>
        <v>3047.2000000000007</v>
      </c>
      <c r="CT11" s="147">
        <f>ABS($CL11-CH11)</f>
        <v>3370.2000000000007</v>
      </c>
      <c r="CU11" s="175"/>
      <c r="CV11" s="147">
        <f t="shared" ref="CV11" si="27">ABS($CL11-CJ11)</f>
        <v>3047.2000000000007</v>
      </c>
      <c r="CW11" s="156">
        <f t="shared" ref="CW11:CW16" si="28">MAX(CP11:CV11)</f>
        <v>5959.7999999999993</v>
      </c>
      <c r="CX11" s="156" t="str">
        <f t="shared" ref="CX11:CX16" si="29">IF(CP11=$CW11,"",CD11)</f>
        <v/>
      </c>
      <c r="CY11" s="156" t="str">
        <f t="shared" ref="CY11:DD11" si="30">IF(CQ11=$CW11,"",CE11)</f>
        <v/>
      </c>
      <c r="CZ11" s="156">
        <f t="shared" si="30"/>
        <v>10948</v>
      </c>
      <c r="DA11" s="156">
        <f t="shared" si="30"/>
        <v>17500</v>
      </c>
      <c r="DB11" s="156">
        <f t="shared" si="30"/>
        <v>17823</v>
      </c>
      <c r="DC11" s="156" t="str">
        <f t="shared" si="30"/>
        <v/>
      </c>
      <c r="DD11" s="156">
        <f t="shared" si="30"/>
        <v>17500</v>
      </c>
      <c r="DE11" s="155"/>
      <c r="DF11" s="156">
        <f t="shared" ref="DF11:DF16" si="31">AVERAGE(CX11:DD11)</f>
        <v>15942.75</v>
      </c>
      <c r="DG11" s="156">
        <f t="shared" ref="DG11:DG16" si="32">_xlfn.STDEV.P(CX11:DD11)</f>
        <v>2886.7335671135293</v>
      </c>
      <c r="DH11" s="157">
        <f>DG11/DF11</f>
        <v>0.18106873451026512</v>
      </c>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140">
        <f>CL11</f>
        <v>14452.8</v>
      </c>
      <c r="EI11" s="140">
        <f>CM11</f>
        <v>3942.8908886754652</v>
      </c>
      <c r="EJ11" s="139">
        <f>EI11/EH11</f>
        <v>0.2728115582223144</v>
      </c>
    </row>
    <row r="12" spans="1:142" s="55" customFormat="1" ht="117.75" customHeight="1">
      <c r="A12" s="92">
        <v>2</v>
      </c>
      <c r="B12" s="87" t="s">
        <v>50</v>
      </c>
      <c r="C12" s="4" t="s">
        <v>24</v>
      </c>
      <c r="D12" s="148">
        <v>21121</v>
      </c>
      <c r="E12" s="148">
        <f t="shared" ref="E12:E16" si="33">+D12*19%</f>
        <v>4012.9900000000002</v>
      </c>
      <c r="F12" s="148">
        <f t="shared" ref="F12:F16" si="34">+D12+E12</f>
        <v>25133.99</v>
      </c>
      <c r="G12" s="148">
        <f t="shared" si="10"/>
        <v>5026798</v>
      </c>
      <c r="H12" s="148">
        <v>8493</v>
      </c>
      <c r="I12" s="148" t="s">
        <v>59</v>
      </c>
      <c r="J12" s="148">
        <f t="shared" ref="J12:J16" si="35">+H12</f>
        <v>8493</v>
      </c>
      <c r="K12" s="149">
        <f t="shared" si="11"/>
        <v>1698600</v>
      </c>
      <c r="L12" s="150">
        <v>9200</v>
      </c>
      <c r="M12" s="150">
        <f t="shared" ref="M12:M16" si="36">ROUND(L12*19%,0)</f>
        <v>1748</v>
      </c>
      <c r="N12" s="150">
        <f t="shared" ref="N12:N16" si="37">L12+M12</f>
        <v>10948</v>
      </c>
      <c r="O12" s="150">
        <f t="shared" si="12"/>
        <v>2189600</v>
      </c>
      <c r="P12" s="150">
        <v>17500</v>
      </c>
      <c r="Q12" s="150" t="s">
        <v>60</v>
      </c>
      <c r="R12" s="150">
        <f t="shared" ref="R12:R16" si="38">+P12</f>
        <v>17500</v>
      </c>
      <c r="S12" s="150">
        <f t="shared" si="13"/>
        <v>3500000</v>
      </c>
      <c r="T12" s="150">
        <v>14977</v>
      </c>
      <c r="U12" s="150">
        <f t="shared" ref="U12:U16" si="39">ROUND(T12*19%,0)</f>
        <v>2846</v>
      </c>
      <c r="V12" s="150">
        <f t="shared" ref="V12:V16" si="40">T12+U12</f>
        <v>17823</v>
      </c>
      <c r="W12" s="150">
        <f t="shared" si="14"/>
        <v>3564600</v>
      </c>
      <c r="X12" s="149">
        <v>23500</v>
      </c>
      <c r="Y12" s="149">
        <f t="shared" ref="Y12:Y16" si="41">ROUND(X12*19%,0)</f>
        <v>4465</v>
      </c>
      <c r="Z12" s="149">
        <f t="shared" ref="Z12:Z16" si="42">X12+Y12</f>
        <v>27965</v>
      </c>
      <c r="AA12" s="149">
        <f t="shared" ref="AA12:AA16" si="43">Z12*AF12</f>
        <v>5593000</v>
      </c>
      <c r="AB12" s="150">
        <v>17500</v>
      </c>
      <c r="AC12" s="150" t="s">
        <v>59</v>
      </c>
      <c r="AD12" s="150">
        <f t="shared" ref="AD12:AD16" si="44">AB12</f>
        <v>17500</v>
      </c>
      <c r="AE12" s="150">
        <f t="shared" ref="AE12:AE16" si="45">AD12*AF12</f>
        <v>3500000</v>
      </c>
      <c r="AF12" s="88">
        <v>200</v>
      </c>
      <c r="AG12" s="45">
        <f t="shared" ref="AG12:AG13" si="46">ROUND(AVERAGE(N12,R12,V12,AD12),0)</f>
        <v>15943</v>
      </c>
      <c r="AH12" s="45">
        <f t="shared" ref="AH12:AH15" si="47">+AG12*AF12</f>
        <v>3188600</v>
      </c>
      <c r="AI12" s="46"/>
      <c r="AJ12" s="46"/>
      <c r="AK12" s="6">
        <f t="shared" si="15"/>
        <v>25133.99</v>
      </c>
      <c r="AL12" s="6">
        <f t="shared" si="16"/>
        <v>8493</v>
      </c>
      <c r="AM12" s="6">
        <f t="shared" si="17"/>
        <v>10948</v>
      </c>
      <c r="AN12" s="6">
        <f t="shared" si="18"/>
        <v>17500</v>
      </c>
      <c r="AO12" s="6">
        <f t="shared" si="19"/>
        <v>17823</v>
      </c>
      <c r="AP12" s="6">
        <f t="shared" si="20"/>
        <v>27965</v>
      </c>
      <c r="AQ12" s="6">
        <f t="shared" si="21"/>
        <v>17500</v>
      </c>
      <c r="AR12" s="48">
        <f t="shared" ref="AR12:AR16" si="48">_xlfn.QUARTILE.EXC(AK12:AQ12,1)</f>
        <v>10948</v>
      </c>
      <c r="AS12" s="48">
        <f t="shared" ref="AS12:AS16" si="49">_xlfn.QUARTILE.EXC(AK12:AQ12,3)</f>
        <v>25133.99</v>
      </c>
      <c r="AT12" s="53">
        <f t="shared" ref="AT12:AT16" si="50">AS12-AR12</f>
        <v>14185.990000000002</v>
      </c>
      <c r="AU12" s="48">
        <f t="shared" ref="AU12:AU16" si="51">AR12-AT12*0.3</f>
        <v>6692.2029999999995</v>
      </c>
      <c r="AV12" s="48">
        <f t="shared" ref="AV12:AV16" si="52">AS12+AT12*0.3</f>
        <v>29389.787000000004</v>
      </c>
      <c r="AW12" s="30"/>
      <c r="AX12" s="48">
        <f t="shared" ref="AX12:AX16" si="53">AVERAGE(AK12:AQ12)</f>
        <v>17908.998571428572</v>
      </c>
      <c r="AY12" s="107">
        <f t="shared" ref="AY12:AY16" si="54">_xlfn.STDEV.P(AK12:AQ12)</f>
        <v>6445.177061738108</v>
      </c>
      <c r="AZ12" s="47">
        <f t="shared" ref="AZ12:AZ16" si="55">AY12/AX12</f>
        <v>0.35988483867660426</v>
      </c>
      <c r="BA12" s="49"/>
      <c r="BB12" s="6">
        <f t="shared" ref="BB12:BB16" si="56">ABS($AX12-AK12)</f>
        <v>7224.9914285714294</v>
      </c>
      <c r="BC12" s="6">
        <f t="shared" ref="BC12:BC13" si="57">ABS($AX12-AL12)</f>
        <v>9415.9985714285722</v>
      </c>
      <c r="BD12" s="6">
        <f t="shared" ref="BD12:BD13" si="58">ABS($AX12-AM12)</f>
        <v>6960.9985714285722</v>
      </c>
      <c r="BE12" s="6">
        <f t="shared" ref="BE12:BE13" si="59">ABS($AX12-AN12)</f>
        <v>408.99857142857218</v>
      </c>
      <c r="BF12" s="6">
        <f t="shared" ref="BF12:BH16" si="60">ABS($AX12-AO12)</f>
        <v>85.998571428572177</v>
      </c>
      <c r="BG12" s="6">
        <f t="shared" si="60"/>
        <v>10056.001428571428</v>
      </c>
      <c r="BH12" s="6">
        <f t="shared" si="60"/>
        <v>408.99857142857218</v>
      </c>
      <c r="BI12" s="6">
        <f t="shared" ref="BI12:BI16" si="61">MAX(BB12:BH12)</f>
        <v>10056.001428571428</v>
      </c>
      <c r="BJ12" s="48">
        <f t="shared" ref="BJ12:BJ16" si="62">IF(BB12=$BI12,"",AK12)</f>
        <v>25133.99</v>
      </c>
      <c r="BK12" s="48">
        <f t="shared" ref="BK12:BK16" si="63">IF(BC12=$BI12,"",AL12)</f>
        <v>8493</v>
      </c>
      <c r="BL12" s="48">
        <f t="shared" ref="BL12:BL16" si="64">IF(BD12=$BI12,"",AM12)</f>
        <v>10948</v>
      </c>
      <c r="BM12" s="48">
        <f t="shared" ref="BM12:BM16" si="65">IF(BE12=$BI12,"",AN12)</f>
        <v>17500</v>
      </c>
      <c r="BN12" s="48">
        <f t="shared" ref="BN12:BO16" si="66">IF(BF12=$BI12,"",AO12)</f>
        <v>17823</v>
      </c>
      <c r="BO12" s="48" t="str">
        <f t="shared" si="66"/>
        <v/>
      </c>
      <c r="BP12" s="48">
        <f t="shared" ref="BP12:BP16" si="67">IF(BH12=$BI12,"",AQ12)</f>
        <v>17500</v>
      </c>
      <c r="BQ12" s="57"/>
      <c r="BR12" s="113">
        <f t="shared" ref="BR12:BR16" si="68">AVERAGE(BJ12:BP12)</f>
        <v>16232.998333333335</v>
      </c>
      <c r="BS12" s="113">
        <f t="shared" ref="BS12:BS16" si="69">_xlfn.STDEV.P(BJ12:BP12)</f>
        <v>5366.6427429086343</v>
      </c>
      <c r="BT12" s="126">
        <f t="shared" ref="BT12:BT16" si="70">BS12/BR12</f>
        <v>0.33060083126409284</v>
      </c>
      <c r="BU12" s="51"/>
      <c r="BV12" s="6">
        <f>IF(BJ12="","",ABS($BR12-BJ12))</f>
        <v>8900.9916666666668</v>
      </c>
      <c r="BW12" s="6">
        <f>IF(BK12="","",ABS($BR12-BK12))</f>
        <v>7739.9983333333348</v>
      </c>
      <c r="BX12" s="6">
        <f>IF(BL12="","",ABS($BR12-BL12))</f>
        <v>5284.9983333333348</v>
      </c>
      <c r="BY12" s="6">
        <f>IF(BM12="","",ABS($BR12-BM12))</f>
        <v>1267.0016666666652</v>
      </c>
      <c r="BZ12" s="6">
        <f>IF(BN12="","",ABS($BR12-BN12))</f>
        <v>1590.0016666666652</v>
      </c>
      <c r="CA12" s="6"/>
      <c r="CB12" s="6">
        <f t="shared" ref="CB12" si="71">IF(BP12="","",ABS($BR12-BP12))</f>
        <v>1267.0016666666652</v>
      </c>
      <c r="CC12" s="7">
        <f t="shared" si="25"/>
        <v>8900.9916666666668</v>
      </c>
      <c r="CD12" s="7" t="str">
        <f t="shared" ref="CD12:CD16" si="72">IF(BV12=$CC12,"",BJ12)</f>
        <v/>
      </c>
      <c r="CE12" s="7">
        <f t="shared" ref="CE12:CE16" si="73">IF(BW12=$CC12,"",BK12)</f>
        <v>8493</v>
      </c>
      <c r="CF12" s="7">
        <f t="shared" ref="CF12:CF16" si="74">IF(BX12=$CC12,"",BL12)</f>
        <v>10948</v>
      </c>
      <c r="CG12" s="7">
        <f t="shared" ref="CG12:CG16" si="75">IF(BY12=$CC12,"",BM12)</f>
        <v>17500</v>
      </c>
      <c r="CH12" s="7">
        <f t="shared" ref="CH12:CH16" si="76">IF(BZ12=$CC12,"",BN12)</f>
        <v>17823</v>
      </c>
      <c r="CI12" s="7" t="str">
        <f>IF(CA12=$CC12,"",BO12)</f>
        <v/>
      </c>
      <c r="CJ12" s="7">
        <f t="shared" si="26"/>
        <v>17500</v>
      </c>
      <c r="CK12" s="117"/>
      <c r="CL12" s="138">
        <f t="shared" ref="CL12:CL16" si="77">AVERAGE(CD12:CJ12)</f>
        <v>14452.8</v>
      </c>
      <c r="CM12" s="138">
        <f t="shared" ref="CM12:CM16" si="78">_xlfn.STDEV.P(CD12:CJ12)</f>
        <v>3942.8908886754652</v>
      </c>
      <c r="CN12" s="141">
        <f t="shared" ref="CN12:CN16" si="79">CM12/CL12</f>
        <v>0.2728115582223144</v>
      </c>
      <c r="CO12" s="50"/>
      <c r="CP12" s="164"/>
      <c r="CQ12" s="164">
        <f t="shared" ref="CQ12:CQ13" si="80">ABS($CL12-CE12)</f>
        <v>5959.7999999999993</v>
      </c>
      <c r="CR12" s="147">
        <f t="shared" ref="CR12:CR16" si="81">ABS($CL12-CF12)</f>
        <v>3504.7999999999993</v>
      </c>
      <c r="CS12" s="147">
        <f t="shared" ref="CS12:CS16" si="82">ABS($CL12-CG12)</f>
        <v>3047.2000000000007</v>
      </c>
      <c r="CT12" s="147">
        <f t="shared" ref="CT12:CT16" si="83">ABS($CL12-CH12)</f>
        <v>3370.2000000000007</v>
      </c>
      <c r="CU12" s="175"/>
      <c r="CV12" s="147">
        <f t="shared" ref="CV12:CV16" si="84">ABS($CL12-CJ12)</f>
        <v>3047.2000000000007</v>
      </c>
      <c r="CW12" s="113">
        <f t="shared" si="28"/>
        <v>5959.7999999999993</v>
      </c>
      <c r="CX12" s="113" t="str">
        <f t="shared" si="29"/>
        <v/>
      </c>
      <c r="CY12" s="113" t="str">
        <f t="shared" ref="CY12:CY16" si="85">IF(CQ12=$CW12,"",CE12)</f>
        <v/>
      </c>
      <c r="CZ12" s="156">
        <f t="shared" ref="CZ12:CZ16" si="86">IF(CR12=$CW12,"",CF12)</f>
        <v>10948</v>
      </c>
      <c r="DA12" s="113">
        <f t="shared" ref="DA12:DB16" si="87">IF(CS12=$CW12,"",CG12)</f>
        <v>17500</v>
      </c>
      <c r="DB12" s="113">
        <f t="shared" si="87"/>
        <v>17823</v>
      </c>
      <c r="DC12" s="113" t="str">
        <f t="shared" ref="DC12:DC16" si="88">IF(CU12=$CW12,"",CI12)</f>
        <v/>
      </c>
      <c r="DD12" s="113">
        <f t="shared" ref="DD12:DD16" si="89">IF(CV12=$CW12,"",CJ12)</f>
        <v>17500</v>
      </c>
      <c r="DE12" s="50"/>
      <c r="DF12" s="134">
        <f t="shared" si="31"/>
        <v>15942.75</v>
      </c>
      <c r="DG12" s="134">
        <f t="shared" si="32"/>
        <v>2886.7335671135293</v>
      </c>
      <c r="DH12" s="135">
        <f t="shared" ref="DH12" si="90">DG12/DF12</f>
        <v>0.18106873451026512</v>
      </c>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136">
        <f>DF12</f>
        <v>15942.75</v>
      </c>
      <c r="EI12" s="136">
        <f>AY12</f>
        <v>6445.177061738108</v>
      </c>
      <c r="EJ12" s="137">
        <f t="shared" ref="EJ12:EJ16" si="91">EI12/EH12</f>
        <v>0.40427009529335328</v>
      </c>
      <c r="EK12" s="56"/>
      <c r="EL12" s="56"/>
    </row>
    <row r="13" spans="1:142" s="55" customFormat="1" ht="117.75" customHeight="1">
      <c r="A13" s="93">
        <v>3</v>
      </c>
      <c r="B13" s="87" t="s">
        <v>51</v>
      </c>
      <c r="C13" s="4" t="s">
        <v>24</v>
      </c>
      <c r="D13" s="148">
        <v>21121</v>
      </c>
      <c r="E13" s="148">
        <f t="shared" si="33"/>
        <v>4012.9900000000002</v>
      </c>
      <c r="F13" s="148">
        <f t="shared" si="34"/>
        <v>25133.99</v>
      </c>
      <c r="G13" s="148">
        <f t="shared" si="10"/>
        <v>2513399</v>
      </c>
      <c r="H13" s="148">
        <v>8493</v>
      </c>
      <c r="I13" s="148" t="s">
        <v>59</v>
      </c>
      <c r="J13" s="148">
        <f t="shared" si="35"/>
        <v>8493</v>
      </c>
      <c r="K13" s="149">
        <f t="shared" si="11"/>
        <v>849300</v>
      </c>
      <c r="L13" s="150">
        <v>9200</v>
      </c>
      <c r="M13" s="150">
        <f t="shared" si="36"/>
        <v>1748</v>
      </c>
      <c r="N13" s="150">
        <f t="shared" si="37"/>
        <v>10948</v>
      </c>
      <c r="O13" s="150">
        <f t="shared" si="12"/>
        <v>1094800</v>
      </c>
      <c r="P13" s="150">
        <v>17500</v>
      </c>
      <c r="Q13" s="150" t="s">
        <v>60</v>
      </c>
      <c r="R13" s="150">
        <f t="shared" si="38"/>
        <v>17500</v>
      </c>
      <c r="S13" s="150">
        <f t="shared" si="13"/>
        <v>1750000</v>
      </c>
      <c r="T13" s="150">
        <v>14977</v>
      </c>
      <c r="U13" s="150">
        <f t="shared" si="39"/>
        <v>2846</v>
      </c>
      <c r="V13" s="150">
        <f t="shared" si="40"/>
        <v>17823</v>
      </c>
      <c r="W13" s="150">
        <f t="shared" si="14"/>
        <v>1782300</v>
      </c>
      <c r="X13" s="149">
        <v>23500</v>
      </c>
      <c r="Y13" s="149">
        <f t="shared" si="41"/>
        <v>4465</v>
      </c>
      <c r="Z13" s="149">
        <f t="shared" si="42"/>
        <v>27965</v>
      </c>
      <c r="AA13" s="149">
        <f t="shared" si="43"/>
        <v>2796500</v>
      </c>
      <c r="AB13" s="150">
        <v>17500</v>
      </c>
      <c r="AC13" s="150" t="s">
        <v>59</v>
      </c>
      <c r="AD13" s="150">
        <f t="shared" si="44"/>
        <v>17500</v>
      </c>
      <c r="AE13" s="150">
        <f t="shared" si="45"/>
        <v>1750000</v>
      </c>
      <c r="AF13" s="88">
        <v>100</v>
      </c>
      <c r="AG13" s="45">
        <f t="shared" si="46"/>
        <v>15943</v>
      </c>
      <c r="AH13" s="45">
        <f t="shared" si="47"/>
        <v>1594300</v>
      </c>
      <c r="AI13" s="46"/>
      <c r="AJ13" s="46"/>
      <c r="AK13" s="6">
        <f t="shared" si="15"/>
        <v>25133.99</v>
      </c>
      <c r="AL13" s="6">
        <f t="shared" si="16"/>
        <v>8493</v>
      </c>
      <c r="AM13" s="6">
        <f t="shared" si="17"/>
        <v>10948</v>
      </c>
      <c r="AN13" s="6">
        <f t="shared" si="18"/>
        <v>17500</v>
      </c>
      <c r="AO13" s="6">
        <f t="shared" si="19"/>
        <v>17823</v>
      </c>
      <c r="AP13" s="6">
        <f t="shared" si="20"/>
        <v>27965</v>
      </c>
      <c r="AQ13" s="6">
        <f t="shared" si="21"/>
        <v>17500</v>
      </c>
      <c r="AR13" s="48">
        <f t="shared" si="48"/>
        <v>10948</v>
      </c>
      <c r="AS13" s="48">
        <f t="shared" si="49"/>
        <v>25133.99</v>
      </c>
      <c r="AT13" s="53">
        <f t="shared" si="50"/>
        <v>14185.990000000002</v>
      </c>
      <c r="AU13" s="48">
        <f t="shared" si="51"/>
        <v>6692.2029999999995</v>
      </c>
      <c r="AV13" s="48">
        <f t="shared" si="52"/>
        <v>29389.787000000004</v>
      </c>
      <c r="AW13" s="30"/>
      <c r="AX13" s="48">
        <f t="shared" si="53"/>
        <v>17908.998571428572</v>
      </c>
      <c r="AY13" s="107">
        <f t="shared" si="54"/>
        <v>6445.177061738108</v>
      </c>
      <c r="AZ13" s="47">
        <f t="shared" si="55"/>
        <v>0.35988483867660426</v>
      </c>
      <c r="BA13" s="49"/>
      <c r="BB13" s="6">
        <f t="shared" si="56"/>
        <v>7224.9914285714294</v>
      </c>
      <c r="BC13" s="6">
        <f t="shared" si="57"/>
        <v>9415.9985714285722</v>
      </c>
      <c r="BD13" s="6">
        <f t="shared" si="58"/>
        <v>6960.9985714285722</v>
      </c>
      <c r="BE13" s="6">
        <f t="shared" si="59"/>
        <v>408.99857142857218</v>
      </c>
      <c r="BF13" s="6">
        <f t="shared" si="60"/>
        <v>85.998571428572177</v>
      </c>
      <c r="BG13" s="6">
        <f t="shared" si="60"/>
        <v>10056.001428571428</v>
      </c>
      <c r="BH13" s="6">
        <f t="shared" si="60"/>
        <v>408.99857142857218</v>
      </c>
      <c r="BI13" s="6">
        <f t="shared" si="61"/>
        <v>10056.001428571428</v>
      </c>
      <c r="BJ13" s="48">
        <f t="shared" si="62"/>
        <v>25133.99</v>
      </c>
      <c r="BK13" s="48">
        <f t="shared" si="63"/>
        <v>8493</v>
      </c>
      <c r="BL13" s="48">
        <f t="shared" si="64"/>
        <v>10948</v>
      </c>
      <c r="BM13" s="48">
        <f t="shared" si="65"/>
        <v>17500</v>
      </c>
      <c r="BN13" s="48">
        <f t="shared" si="66"/>
        <v>17823</v>
      </c>
      <c r="BO13" s="48" t="str">
        <f t="shared" si="66"/>
        <v/>
      </c>
      <c r="BP13" s="48">
        <f t="shared" si="67"/>
        <v>17500</v>
      </c>
      <c r="BQ13" s="57"/>
      <c r="BR13" s="113">
        <f t="shared" si="68"/>
        <v>16232.998333333335</v>
      </c>
      <c r="BS13" s="113">
        <f t="shared" si="69"/>
        <v>5366.6427429086343</v>
      </c>
      <c r="BT13" s="126">
        <f t="shared" si="70"/>
        <v>0.33060083126409284</v>
      </c>
      <c r="BU13" s="51"/>
      <c r="BV13" s="6">
        <f t="shared" ref="BV13:BZ14" si="92">ABS($BR13-BJ13)</f>
        <v>8900.9916666666668</v>
      </c>
      <c r="BW13" s="6">
        <f t="shared" si="92"/>
        <v>7739.9983333333348</v>
      </c>
      <c r="BX13" s="6">
        <f t="shared" si="92"/>
        <v>5284.9983333333348</v>
      </c>
      <c r="BY13" s="6">
        <f t="shared" si="92"/>
        <v>1267.0016666666652</v>
      </c>
      <c r="BZ13" s="6">
        <f t="shared" si="92"/>
        <v>1590.0016666666652</v>
      </c>
      <c r="CA13" s="6"/>
      <c r="CB13" s="6">
        <f t="shared" ref="CB13:CB16" si="93">ABS($BR13-BP13)</f>
        <v>1267.0016666666652</v>
      </c>
      <c r="CC13" s="7">
        <f t="shared" si="25"/>
        <v>8900.9916666666668</v>
      </c>
      <c r="CD13" s="7" t="str">
        <f t="shared" si="72"/>
        <v/>
      </c>
      <c r="CE13" s="7">
        <f t="shared" si="73"/>
        <v>8493</v>
      </c>
      <c r="CF13" s="7">
        <f t="shared" si="74"/>
        <v>10948</v>
      </c>
      <c r="CG13" s="7">
        <f t="shared" si="75"/>
        <v>17500</v>
      </c>
      <c r="CH13" s="7">
        <f t="shared" si="76"/>
        <v>17823</v>
      </c>
      <c r="CI13" s="7" t="str">
        <f t="shared" si="26"/>
        <v/>
      </c>
      <c r="CJ13" s="7">
        <f t="shared" si="26"/>
        <v>17500</v>
      </c>
      <c r="CK13" s="111"/>
      <c r="CL13" s="138">
        <f t="shared" si="77"/>
        <v>14452.8</v>
      </c>
      <c r="CM13" s="138">
        <f t="shared" si="78"/>
        <v>3942.8908886754652</v>
      </c>
      <c r="CN13" s="141">
        <f t="shared" si="79"/>
        <v>0.2728115582223144</v>
      </c>
      <c r="CO13" s="50"/>
      <c r="CP13" s="164"/>
      <c r="CQ13" s="164">
        <f t="shared" si="80"/>
        <v>5959.7999999999993</v>
      </c>
      <c r="CR13" s="147">
        <f t="shared" si="81"/>
        <v>3504.7999999999993</v>
      </c>
      <c r="CS13" s="147">
        <f t="shared" si="82"/>
        <v>3047.2000000000007</v>
      </c>
      <c r="CT13" s="147">
        <f t="shared" si="83"/>
        <v>3370.2000000000007</v>
      </c>
      <c r="CU13" s="175"/>
      <c r="CV13" s="147">
        <f t="shared" si="84"/>
        <v>3047.2000000000007</v>
      </c>
      <c r="CW13" s="113">
        <f t="shared" si="28"/>
        <v>5959.7999999999993</v>
      </c>
      <c r="CX13" s="113" t="str">
        <f t="shared" si="29"/>
        <v/>
      </c>
      <c r="CY13" s="113" t="str">
        <f t="shared" si="85"/>
        <v/>
      </c>
      <c r="CZ13" s="113">
        <f t="shared" si="86"/>
        <v>10948</v>
      </c>
      <c r="DA13" s="113">
        <f t="shared" si="87"/>
        <v>17500</v>
      </c>
      <c r="DB13" s="113">
        <f t="shared" si="87"/>
        <v>17823</v>
      </c>
      <c r="DC13" s="113" t="str">
        <f t="shared" si="88"/>
        <v/>
      </c>
      <c r="DD13" s="113">
        <f t="shared" si="89"/>
        <v>17500</v>
      </c>
      <c r="DE13" s="50"/>
      <c r="DF13" s="113">
        <f t="shared" si="31"/>
        <v>15942.75</v>
      </c>
      <c r="DG13" s="113">
        <f t="shared" si="32"/>
        <v>2886.7335671135293</v>
      </c>
      <c r="DH13" s="114">
        <f t="shared" ref="DH13:DH16" si="94">DG13/DF13</f>
        <v>0.18106873451026512</v>
      </c>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128">
        <f t="shared" ref="EH13:EI17" si="95">BR13</f>
        <v>16232.998333333335</v>
      </c>
      <c r="EI13" s="128">
        <f t="shared" si="95"/>
        <v>5366.6427429086343</v>
      </c>
      <c r="EJ13" s="127">
        <f t="shared" si="91"/>
        <v>0.33060083126409284</v>
      </c>
      <c r="EK13" s="56"/>
      <c r="EL13" s="56"/>
    </row>
    <row r="14" spans="1:142" s="55" customFormat="1" ht="104.25" customHeight="1">
      <c r="A14" s="93">
        <v>4</v>
      </c>
      <c r="B14" s="87" t="s">
        <v>52</v>
      </c>
      <c r="C14" s="4" t="s">
        <v>25</v>
      </c>
      <c r="D14" s="5">
        <v>2207</v>
      </c>
      <c r="E14" s="89">
        <f t="shared" si="33"/>
        <v>419.33</v>
      </c>
      <c r="F14" s="89">
        <f t="shared" si="34"/>
        <v>2626.33</v>
      </c>
      <c r="G14" s="89">
        <f t="shared" si="10"/>
        <v>2888963</v>
      </c>
      <c r="H14" s="148">
        <v>1700</v>
      </c>
      <c r="I14" s="148" t="s">
        <v>59</v>
      </c>
      <c r="J14" s="148">
        <f t="shared" si="35"/>
        <v>1700</v>
      </c>
      <c r="K14" s="149">
        <f t="shared" si="11"/>
        <v>1870000</v>
      </c>
      <c r="L14" s="149">
        <v>1600</v>
      </c>
      <c r="M14" s="149">
        <f t="shared" si="36"/>
        <v>304</v>
      </c>
      <c r="N14" s="149">
        <f t="shared" si="37"/>
        <v>1904</v>
      </c>
      <c r="O14" s="149">
        <f t="shared" si="12"/>
        <v>2094400</v>
      </c>
      <c r="P14" s="150">
        <v>2700</v>
      </c>
      <c r="Q14" s="150" t="s">
        <v>60</v>
      </c>
      <c r="R14" s="150">
        <f t="shared" si="38"/>
        <v>2700</v>
      </c>
      <c r="S14" s="150">
        <f t="shared" si="13"/>
        <v>2970000</v>
      </c>
      <c r="T14" s="150">
        <v>2700</v>
      </c>
      <c r="U14" s="150">
        <f t="shared" si="39"/>
        <v>513</v>
      </c>
      <c r="V14" s="150">
        <f t="shared" si="40"/>
        <v>3213</v>
      </c>
      <c r="W14" s="150">
        <f t="shared" si="14"/>
        <v>3534300</v>
      </c>
      <c r="X14" s="149">
        <v>4000</v>
      </c>
      <c r="Y14" s="149">
        <f t="shared" si="41"/>
        <v>760</v>
      </c>
      <c r="Z14" s="149">
        <f t="shared" si="42"/>
        <v>4760</v>
      </c>
      <c r="AA14" s="149">
        <f t="shared" si="43"/>
        <v>5236000</v>
      </c>
      <c r="AB14" s="150">
        <v>3500</v>
      </c>
      <c r="AC14" s="150" t="s">
        <v>59</v>
      </c>
      <c r="AD14" s="150">
        <f t="shared" si="44"/>
        <v>3500</v>
      </c>
      <c r="AE14" s="150">
        <f t="shared" si="45"/>
        <v>3850000</v>
      </c>
      <c r="AF14" s="88">
        <v>1100</v>
      </c>
      <c r="AG14" s="45">
        <f>ROUND(AVERAGE(F14,R14,V14,AD14),0)</f>
        <v>3010</v>
      </c>
      <c r="AH14" s="45">
        <f t="shared" si="47"/>
        <v>3311000</v>
      </c>
      <c r="AI14" s="46"/>
      <c r="AJ14" s="46"/>
      <c r="AK14" s="6">
        <f t="shared" si="15"/>
        <v>2626.33</v>
      </c>
      <c r="AL14" s="6">
        <f t="shared" si="16"/>
        <v>1700</v>
      </c>
      <c r="AM14" s="6">
        <f t="shared" si="17"/>
        <v>1904</v>
      </c>
      <c r="AN14" s="6">
        <f t="shared" si="18"/>
        <v>2700</v>
      </c>
      <c r="AO14" s="6">
        <f t="shared" si="19"/>
        <v>3213</v>
      </c>
      <c r="AP14" s="6">
        <f t="shared" si="20"/>
        <v>4760</v>
      </c>
      <c r="AQ14" s="6">
        <f t="shared" si="21"/>
        <v>3500</v>
      </c>
      <c r="AR14" s="48">
        <f t="shared" si="48"/>
        <v>1904</v>
      </c>
      <c r="AS14" s="48">
        <f t="shared" si="49"/>
        <v>3500</v>
      </c>
      <c r="AT14" s="53">
        <f t="shared" si="50"/>
        <v>1596</v>
      </c>
      <c r="AU14" s="48">
        <f t="shared" si="51"/>
        <v>1425.2</v>
      </c>
      <c r="AV14" s="48">
        <f t="shared" si="52"/>
        <v>3978.8</v>
      </c>
      <c r="AW14" s="30"/>
      <c r="AX14" s="48">
        <f t="shared" si="53"/>
        <v>2914.761428571429</v>
      </c>
      <c r="AY14" s="107">
        <f t="shared" si="54"/>
        <v>960.87422772075524</v>
      </c>
      <c r="AZ14" s="47">
        <f t="shared" si="55"/>
        <v>0.32965793299649054</v>
      </c>
      <c r="BA14" s="49"/>
      <c r="BB14" s="6">
        <f t="shared" si="56"/>
        <v>288.43142857142902</v>
      </c>
      <c r="BC14" s="6">
        <f>ABS($AX14-AL14)</f>
        <v>1214.761428571429</v>
      </c>
      <c r="BD14" s="6">
        <f>ABS($AX14-AM14)</f>
        <v>1010.761428571429</v>
      </c>
      <c r="BE14" s="6">
        <f>ABS($AX14-AN14)</f>
        <v>214.76142857142895</v>
      </c>
      <c r="BF14" s="6">
        <f t="shared" si="60"/>
        <v>298.23857142857105</v>
      </c>
      <c r="BG14" s="6">
        <f t="shared" si="60"/>
        <v>1845.238571428571</v>
      </c>
      <c r="BH14" s="6">
        <f t="shared" si="60"/>
        <v>585.23857142857105</v>
      </c>
      <c r="BI14" s="6">
        <f t="shared" si="61"/>
        <v>1845.238571428571</v>
      </c>
      <c r="BJ14" s="48">
        <f t="shared" si="62"/>
        <v>2626.33</v>
      </c>
      <c r="BK14" s="48">
        <f t="shared" si="63"/>
        <v>1700</v>
      </c>
      <c r="BL14" s="48">
        <f t="shared" si="64"/>
        <v>1904</v>
      </c>
      <c r="BM14" s="48">
        <f t="shared" si="65"/>
        <v>2700</v>
      </c>
      <c r="BN14" s="48">
        <f t="shared" si="66"/>
        <v>3213</v>
      </c>
      <c r="BO14" s="48" t="str">
        <f t="shared" si="66"/>
        <v/>
      </c>
      <c r="BP14" s="48">
        <f t="shared" si="67"/>
        <v>3500</v>
      </c>
      <c r="BQ14" s="57"/>
      <c r="BR14" s="113">
        <f t="shared" si="68"/>
        <v>2607.2216666666668</v>
      </c>
      <c r="BS14" s="113">
        <f t="shared" si="69"/>
        <v>644.27806549699869</v>
      </c>
      <c r="BT14" s="126">
        <f t="shared" si="70"/>
        <v>0.24711288408427054</v>
      </c>
      <c r="BU14" s="51"/>
      <c r="BV14" s="6">
        <f t="shared" si="92"/>
        <v>19.108333333333121</v>
      </c>
      <c r="BW14" s="6">
        <f t="shared" si="92"/>
        <v>907.22166666666681</v>
      </c>
      <c r="BX14" s="6">
        <f t="shared" si="92"/>
        <v>703.22166666666681</v>
      </c>
      <c r="BY14" s="6">
        <f t="shared" si="92"/>
        <v>92.778333333333194</v>
      </c>
      <c r="BZ14" s="6">
        <f t="shared" si="92"/>
        <v>605.77833333333319</v>
      </c>
      <c r="CA14" s="6"/>
      <c r="CB14" s="6">
        <f t="shared" si="93"/>
        <v>892.77833333333319</v>
      </c>
      <c r="CC14" s="7">
        <f t="shared" si="25"/>
        <v>907.22166666666681</v>
      </c>
      <c r="CD14" s="7">
        <f t="shared" si="72"/>
        <v>2626.33</v>
      </c>
      <c r="CE14" s="7" t="str">
        <f t="shared" si="73"/>
        <v/>
      </c>
      <c r="CF14" s="7">
        <f t="shared" si="74"/>
        <v>1904</v>
      </c>
      <c r="CG14" s="7">
        <f t="shared" si="75"/>
        <v>2700</v>
      </c>
      <c r="CH14" s="7">
        <f t="shared" si="76"/>
        <v>3213</v>
      </c>
      <c r="CI14" s="7" t="str">
        <f t="shared" si="26"/>
        <v/>
      </c>
      <c r="CJ14" s="7">
        <f t="shared" si="26"/>
        <v>3500</v>
      </c>
      <c r="CK14" s="117"/>
      <c r="CL14" s="138">
        <f t="shared" si="77"/>
        <v>2788.6660000000002</v>
      </c>
      <c r="CM14" s="138">
        <f t="shared" si="78"/>
        <v>548.25249130669704</v>
      </c>
      <c r="CN14" s="141">
        <f t="shared" si="79"/>
        <v>0.19660027099218658</v>
      </c>
      <c r="CO14" s="129"/>
      <c r="CP14" s="164">
        <f>ABS($CL14-CD14)</f>
        <v>162.33600000000024</v>
      </c>
      <c r="CQ14" s="164"/>
      <c r="CR14" s="147">
        <f t="shared" si="81"/>
        <v>884.66600000000017</v>
      </c>
      <c r="CS14" s="147">
        <f t="shared" si="82"/>
        <v>88.666000000000167</v>
      </c>
      <c r="CT14" s="147">
        <f t="shared" si="83"/>
        <v>424.33399999999983</v>
      </c>
      <c r="CU14" s="175"/>
      <c r="CV14" s="147">
        <f t="shared" si="84"/>
        <v>711.33399999999983</v>
      </c>
      <c r="CW14" s="159">
        <f t="shared" si="28"/>
        <v>884.66600000000017</v>
      </c>
      <c r="CX14" s="159">
        <f t="shared" si="29"/>
        <v>2626.33</v>
      </c>
      <c r="CY14" s="159" t="str">
        <f t="shared" si="85"/>
        <v/>
      </c>
      <c r="CZ14" s="159" t="str">
        <f t="shared" si="86"/>
        <v/>
      </c>
      <c r="DA14" s="159">
        <f t="shared" si="87"/>
        <v>2700</v>
      </c>
      <c r="DB14" s="159">
        <f t="shared" si="87"/>
        <v>3213</v>
      </c>
      <c r="DC14" s="159" t="str">
        <f t="shared" si="88"/>
        <v/>
      </c>
      <c r="DD14" s="159">
        <f t="shared" si="89"/>
        <v>3500</v>
      </c>
      <c r="DE14" s="158"/>
      <c r="DF14" s="159">
        <f t="shared" si="31"/>
        <v>3009.8325</v>
      </c>
      <c r="DG14" s="159">
        <f t="shared" si="32"/>
        <v>362.15036817425784</v>
      </c>
      <c r="DH14" s="160">
        <f t="shared" si="94"/>
        <v>0.12032243261851211</v>
      </c>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128">
        <f t="shared" si="95"/>
        <v>2607.2216666666668</v>
      </c>
      <c r="EI14" s="128">
        <f t="shared" si="95"/>
        <v>644.27806549699869</v>
      </c>
      <c r="EJ14" s="127">
        <f t="shared" si="91"/>
        <v>0.24711288408427054</v>
      </c>
    </row>
    <row r="15" spans="1:142" s="55" customFormat="1" ht="104.25" customHeight="1">
      <c r="A15" s="94">
        <v>5</v>
      </c>
      <c r="B15" s="87" t="s">
        <v>53</v>
      </c>
      <c r="C15" s="4" t="s">
        <v>25</v>
      </c>
      <c r="D15" s="5">
        <v>2207</v>
      </c>
      <c r="E15" s="89">
        <f t="shared" si="33"/>
        <v>419.33</v>
      </c>
      <c r="F15" s="89">
        <f t="shared" si="34"/>
        <v>2626.33</v>
      </c>
      <c r="G15" s="89">
        <f t="shared" si="10"/>
        <v>525266</v>
      </c>
      <c r="H15" s="148">
        <v>1700</v>
      </c>
      <c r="I15" s="148" t="s">
        <v>59</v>
      </c>
      <c r="J15" s="148">
        <f t="shared" si="35"/>
        <v>1700</v>
      </c>
      <c r="K15" s="149">
        <f t="shared" si="11"/>
        <v>340000</v>
      </c>
      <c r="L15" s="149">
        <v>1600</v>
      </c>
      <c r="M15" s="149">
        <f t="shared" si="36"/>
        <v>304</v>
      </c>
      <c r="N15" s="149">
        <f t="shared" si="37"/>
        <v>1904</v>
      </c>
      <c r="O15" s="149">
        <f t="shared" si="12"/>
        <v>380800</v>
      </c>
      <c r="P15" s="150">
        <v>2700</v>
      </c>
      <c r="Q15" s="150" t="s">
        <v>60</v>
      </c>
      <c r="R15" s="150">
        <f t="shared" si="38"/>
        <v>2700</v>
      </c>
      <c r="S15" s="150">
        <f t="shared" si="13"/>
        <v>540000</v>
      </c>
      <c r="T15" s="150">
        <v>2700</v>
      </c>
      <c r="U15" s="150">
        <f t="shared" si="39"/>
        <v>513</v>
      </c>
      <c r="V15" s="150">
        <f t="shared" si="40"/>
        <v>3213</v>
      </c>
      <c r="W15" s="150">
        <f t="shared" si="14"/>
        <v>642600</v>
      </c>
      <c r="X15" s="149">
        <v>4000</v>
      </c>
      <c r="Y15" s="149">
        <f t="shared" si="41"/>
        <v>760</v>
      </c>
      <c r="Z15" s="149">
        <f t="shared" si="42"/>
        <v>4760</v>
      </c>
      <c r="AA15" s="149">
        <f t="shared" si="43"/>
        <v>952000</v>
      </c>
      <c r="AB15" s="150">
        <v>3500</v>
      </c>
      <c r="AC15" s="150" t="s">
        <v>59</v>
      </c>
      <c r="AD15" s="150">
        <f t="shared" si="44"/>
        <v>3500</v>
      </c>
      <c r="AE15" s="150">
        <f t="shared" si="45"/>
        <v>700000</v>
      </c>
      <c r="AF15" s="88">
        <v>200</v>
      </c>
      <c r="AG15" s="45">
        <f t="shared" ref="AG15:AG16" si="96">ROUND(AVERAGE(F15,R15,V15,AD15),0)</f>
        <v>3010</v>
      </c>
      <c r="AH15" s="45">
        <f t="shared" si="47"/>
        <v>602000</v>
      </c>
      <c r="AI15" s="46"/>
      <c r="AJ15" s="46"/>
      <c r="AK15" s="6">
        <f t="shared" si="15"/>
        <v>2626.33</v>
      </c>
      <c r="AL15" s="6">
        <f t="shared" si="16"/>
        <v>1700</v>
      </c>
      <c r="AM15" s="6">
        <f t="shared" si="17"/>
        <v>1904</v>
      </c>
      <c r="AN15" s="6">
        <f t="shared" si="18"/>
        <v>2700</v>
      </c>
      <c r="AO15" s="6">
        <f t="shared" si="19"/>
        <v>3213</v>
      </c>
      <c r="AP15" s="6">
        <f t="shared" si="20"/>
        <v>4760</v>
      </c>
      <c r="AQ15" s="6">
        <f t="shared" si="21"/>
        <v>3500</v>
      </c>
      <c r="AR15" s="48">
        <f t="shared" si="48"/>
        <v>1904</v>
      </c>
      <c r="AS15" s="48">
        <f t="shared" si="49"/>
        <v>3500</v>
      </c>
      <c r="AT15" s="53">
        <f t="shared" si="50"/>
        <v>1596</v>
      </c>
      <c r="AU15" s="48">
        <f t="shared" si="51"/>
        <v>1425.2</v>
      </c>
      <c r="AV15" s="48">
        <f t="shared" si="52"/>
        <v>3978.8</v>
      </c>
      <c r="AW15" s="30"/>
      <c r="AX15" s="48">
        <f t="shared" si="53"/>
        <v>2914.761428571429</v>
      </c>
      <c r="AY15" s="107">
        <f t="shared" si="54"/>
        <v>960.87422772075524</v>
      </c>
      <c r="AZ15" s="47">
        <f t="shared" si="55"/>
        <v>0.32965793299649054</v>
      </c>
      <c r="BA15" s="49"/>
      <c r="BB15" s="6">
        <f t="shared" si="56"/>
        <v>288.43142857142902</v>
      </c>
      <c r="BC15" s="6">
        <f t="shared" ref="BC15:BC16" si="97">ABS($AX15-AL15)</f>
        <v>1214.761428571429</v>
      </c>
      <c r="BD15" s="6">
        <f t="shared" ref="BD15:BD16" si="98">ABS($AX15-AM15)</f>
        <v>1010.761428571429</v>
      </c>
      <c r="BE15" s="6">
        <f t="shared" ref="BE15:BE16" si="99">ABS($AX15-AN15)</f>
        <v>214.76142857142895</v>
      </c>
      <c r="BF15" s="6">
        <f t="shared" si="60"/>
        <v>298.23857142857105</v>
      </c>
      <c r="BG15" s="6">
        <f t="shared" si="60"/>
        <v>1845.238571428571</v>
      </c>
      <c r="BH15" s="6">
        <f t="shared" si="60"/>
        <v>585.23857142857105</v>
      </c>
      <c r="BI15" s="6">
        <f t="shared" si="61"/>
        <v>1845.238571428571</v>
      </c>
      <c r="BJ15" s="48">
        <f t="shared" si="62"/>
        <v>2626.33</v>
      </c>
      <c r="BK15" s="48">
        <f t="shared" si="63"/>
        <v>1700</v>
      </c>
      <c r="BL15" s="48">
        <f t="shared" si="64"/>
        <v>1904</v>
      </c>
      <c r="BM15" s="48">
        <f t="shared" si="65"/>
        <v>2700</v>
      </c>
      <c r="BN15" s="48">
        <f t="shared" si="66"/>
        <v>3213</v>
      </c>
      <c r="BO15" s="48" t="str">
        <f t="shared" si="66"/>
        <v/>
      </c>
      <c r="BP15" s="48">
        <f t="shared" si="67"/>
        <v>3500</v>
      </c>
      <c r="BQ15" s="57"/>
      <c r="BR15" s="113">
        <f t="shared" si="68"/>
        <v>2607.2216666666668</v>
      </c>
      <c r="BS15" s="113">
        <f t="shared" si="69"/>
        <v>644.27806549699869</v>
      </c>
      <c r="BT15" s="126">
        <f t="shared" si="70"/>
        <v>0.24711288408427054</v>
      </c>
      <c r="BU15" s="51"/>
      <c r="BV15" s="6">
        <f t="shared" ref="BV15:BV16" si="100">ABS($BR15-BJ15)</f>
        <v>19.108333333333121</v>
      </c>
      <c r="BW15" s="6">
        <f t="shared" ref="BW15:BW16" si="101">ABS($BR15-BK15)</f>
        <v>907.22166666666681</v>
      </c>
      <c r="BX15" s="6">
        <f t="shared" ref="BX15:BX16" si="102">ABS($BR15-BL15)</f>
        <v>703.22166666666681</v>
      </c>
      <c r="BY15" s="6">
        <f t="shared" ref="BY15:BY16" si="103">ABS($BR15-BM15)</f>
        <v>92.778333333333194</v>
      </c>
      <c r="BZ15" s="6">
        <f t="shared" ref="BZ15:BZ16" si="104">ABS($BR15-BN15)</f>
        <v>605.77833333333319</v>
      </c>
      <c r="CA15" s="6"/>
      <c r="CB15" s="6">
        <f t="shared" si="93"/>
        <v>892.77833333333319</v>
      </c>
      <c r="CC15" s="7">
        <f t="shared" si="25"/>
        <v>907.22166666666681</v>
      </c>
      <c r="CD15" s="7">
        <f t="shared" si="72"/>
        <v>2626.33</v>
      </c>
      <c r="CE15" s="7" t="str">
        <f t="shared" si="73"/>
        <v/>
      </c>
      <c r="CF15" s="7">
        <f t="shared" si="74"/>
        <v>1904</v>
      </c>
      <c r="CG15" s="7">
        <f t="shared" si="75"/>
        <v>2700</v>
      </c>
      <c r="CH15" s="7">
        <f t="shared" si="76"/>
        <v>3213</v>
      </c>
      <c r="CI15" s="7" t="str">
        <f t="shared" si="26"/>
        <v/>
      </c>
      <c r="CJ15" s="7">
        <f t="shared" si="26"/>
        <v>3500</v>
      </c>
      <c r="CK15" s="117"/>
      <c r="CL15" s="138">
        <f t="shared" si="77"/>
        <v>2788.6660000000002</v>
      </c>
      <c r="CM15" s="138">
        <f t="shared" si="78"/>
        <v>548.25249130669704</v>
      </c>
      <c r="CN15" s="141">
        <f t="shared" si="79"/>
        <v>0.19660027099218658</v>
      </c>
      <c r="CO15" s="50"/>
      <c r="CP15" s="164">
        <f>ABS($CL15-CD15)</f>
        <v>162.33600000000024</v>
      </c>
      <c r="CQ15" s="164"/>
      <c r="CR15" s="147">
        <f t="shared" si="81"/>
        <v>884.66600000000017</v>
      </c>
      <c r="CS15" s="147">
        <f t="shared" si="82"/>
        <v>88.666000000000167</v>
      </c>
      <c r="CT15" s="147">
        <f t="shared" si="83"/>
        <v>424.33399999999983</v>
      </c>
      <c r="CU15" s="175"/>
      <c r="CV15" s="147">
        <f t="shared" si="84"/>
        <v>711.33399999999983</v>
      </c>
      <c r="CW15" s="159">
        <f t="shared" si="28"/>
        <v>884.66600000000017</v>
      </c>
      <c r="CX15" s="159">
        <f t="shared" si="29"/>
        <v>2626.33</v>
      </c>
      <c r="CY15" s="159" t="str">
        <f t="shared" si="85"/>
        <v/>
      </c>
      <c r="CZ15" s="159" t="str">
        <f t="shared" si="86"/>
        <v/>
      </c>
      <c r="DA15" s="159">
        <f t="shared" si="87"/>
        <v>2700</v>
      </c>
      <c r="DB15" s="159">
        <f t="shared" si="87"/>
        <v>3213</v>
      </c>
      <c r="DC15" s="159" t="str">
        <f t="shared" si="88"/>
        <v/>
      </c>
      <c r="DD15" s="159">
        <f t="shared" si="89"/>
        <v>3500</v>
      </c>
      <c r="DE15" s="158"/>
      <c r="DF15" s="159">
        <f t="shared" si="31"/>
        <v>3009.8325</v>
      </c>
      <c r="DG15" s="159">
        <f t="shared" si="32"/>
        <v>362.15036817425784</v>
      </c>
      <c r="DH15" s="160">
        <f t="shared" si="94"/>
        <v>0.12032243261851211</v>
      </c>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128">
        <f t="shared" si="95"/>
        <v>2607.2216666666668</v>
      </c>
      <c r="EI15" s="128">
        <f t="shared" si="95"/>
        <v>644.27806549699869</v>
      </c>
      <c r="EJ15" s="127">
        <f t="shared" si="91"/>
        <v>0.24711288408427054</v>
      </c>
      <c r="EK15" s="56"/>
      <c r="EL15" s="56"/>
    </row>
    <row r="16" spans="1:142" s="55" customFormat="1" ht="104.25" customHeight="1">
      <c r="A16" s="93">
        <v>6</v>
      </c>
      <c r="B16" s="87" t="s">
        <v>54</v>
      </c>
      <c r="C16" s="4" t="s">
        <v>25</v>
      </c>
      <c r="D16" s="5">
        <v>2207</v>
      </c>
      <c r="E16" s="89">
        <f t="shared" si="33"/>
        <v>419.33</v>
      </c>
      <c r="F16" s="89">
        <f t="shared" si="34"/>
        <v>2626.33</v>
      </c>
      <c r="G16" s="89">
        <f t="shared" si="10"/>
        <v>262633</v>
      </c>
      <c r="H16" s="148">
        <v>1700</v>
      </c>
      <c r="I16" s="148" t="s">
        <v>59</v>
      </c>
      <c r="J16" s="148">
        <f t="shared" si="35"/>
        <v>1700</v>
      </c>
      <c r="K16" s="149">
        <f t="shared" si="11"/>
        <v>170000</v>
      </c>
      <c r="L16" s="149">
        <v>1600</v>
      </c>
      <c r="M16" s="149">
        <f t="shared" si="36"/>
        <v>304</v>
      </c>
      <c r="N16" s="149">
        <f t="shared" si="37"/>
        <v>1904</v>
      </c>
      <c r="O16" s="149">
        <f t="shared" si="12"/>
        <v>190400</v>
      </c>
      <c r="P16" s="150">
        <v>2700</v>
      </c>
      <c r="Q16" s="150" t="s">
        <v>60</v>
      </c>
      <c r="R16" s="150">
        <f t="shared" si="38"/>
        <v>2700</v>
      </c>
      <c r="S16" s="150">
        <f t="shared" si="13"/>
        <v>270000</v>
      </c>
      <c r="T16" s="150">
        <v>2700</v>
      </c>
      <c r="U16" s="150">
        <f t="shared" si="39"/>
        <v>513</v>
      </c>
      <c r="V16" s="150">
        <f t="shared" si="40"/>
        <v>3213</v>
      </c>
      <c r="W16" s="150">
        <f t="shared" si="14"/>
        <v>321300</v>
      </c>
      <c r="X16" s="149">
        <v>4000</v>
      </c>
      <c r="Y16" s="149">
        <f t="shared" si="41"/>
        <v>760</v>
      </c>
      <c r="Z16" s="149">
        <f t="shared" si="42"/>
        <v>4760</v>
      </c>
      <c r="AA16" s="149">
        <f t="shared" si="43"/>
        <v>476000</v>
      </c>
      <c r="AB16" s="150">
        <v>3500</v>
      </c>
      <c r="AC16" s="150" t="s">
        <v>59</v>
      </c>
      <c r="AD16" s="150">
        <f t="shared" si="44"/>
        <v>3500</v>
      </c>
      <c r="AE16" s="150">
        <f t="shared" si="45"/>
        <v>350000</v>
      </c>
      <c r="AF16" s="88">
        <v>100</v>
      </c>
      <c r="AG16" s="45">
        <f t="shared" si="96"/>
        <v>3010</v>
      </c>
      <c r="AH16" s="45">
        <f>+AG16*AF16</f>
        <v>301000</v>
      </c>
      <c r="AI16" s="46"/>
      <c r="AJ16" s="46"/>
      <c r="AK16" s="6">
        <f t="shared" si="15"/>
        <v>2626.33</v>
      </c>
      <c r="AL16" s="6">
        <f t="shared" si="16"/>
        <v>1700</v>
      </c>
      <c r="AM16" s="6">
        <f t="shared" si="17"/>
        <v>1904</v>
      </c>
      <c r="AN16" s="6">
        <f t="shared" si="18"/>
        <v>2700</v>
      </c>
      <c r="AO16" s="6">
        <f t="shared" si="19"/>
        <v>3213</v>
      </c>
      <c r="AP16" s="6">
        <f t="shared" si="20"/>
        <v>4760</v>
      </c>
      <c r="AQ16" s="6">
        <f t="shared" si="21"/>
        <v>3500</v>
      </c>
      <c r="AR16" s="48">
        <f t="shared" si="48"/>
        <v>1904</v>
      </c>
      <c r="AS16" s="48">
        <f t="shared" si="49"/>
        <v>3500</v>
      </c>
      <c r="AT16" s="53">
        <f t="shared" si="50"/>
        <v>1596</v>
      </c>
      <c r="AU16" s="48">
        <f t="shared" si="51"/>
        <v>1425.2</v>
      </c>
      <c r="AV16" s="48">
        <f t="shared" si="52"/>
        <v>3978.8</v>
      </c>
      <c r="AW16" s="30"/>
      <c r="AX16" s="48">
        <f t="shared" si="53"/>
        <v>2914.761428571429</v>
      </c>
      <c r="AY16" s="107">
        <f t="shared" si="54"/>
        <v>960.87422772075524</v>
      </c>
      <c r="AZ16" s="47">
        <f t="shared" si="55"/>
        <v>0.32965793299649054</v>
      </c>
      <c r="BA16" s="49"/>
      <c r="BB16" s="6">
        <f t="shared" si="56"/>
        <v>288.43142857142902</v>
      </c>
      <c r="BC16" s="6">
        <f t="shared" si="97"/>
        <v>1214.761428571429</v>
      </c>
      <c r="BD16" s="6">
        <f t="shared" si="98"/>
        <v>1010.761428571429</v>
      </c>
      <c r="BE16" s="6">
        <f t="shared" si="99"/>
        <v>214.76142857142895</v>
      </c>
      <c r="BF16" s="6">
        <f t="shared" si="60"/>
        <v>298.23857142857105</v>
      </c>
      <c r="BG16" s="6">
        <f t="shared" si="60"/>
        <v>1845.238571428571</v>
      </c>
      <c r="BH16" s="6">
        <f t="shared" si="60"/>
        <v>585.23857142857105</v>
      </c>
      <c r="BI16" s="6">
        <f t="shared" si="61"/>
        <v>1845.238571428571</v>
      </c>
      <c r="BJ16" s="48">
        <f t="shared" si="62"/>
        <v>2626.33</v>
      </c>
      <c r="BK16" s="48">
        <f t="shared" si="63"/>
        <v>1700</v>
      </c>
      <c r="BL16" s="48">
        <f t="shared" si="64"/>
        <v>1904</v>
      </c>
      <c r="BM16" s="48">
        <f t="shared" si="65"/>
        <v>2700</v>
      </c>
      <c r="BN16" s="48">
        <f t="shared" si="66"/>
        <v>3213</v>
      </c>
      <c r="BO16" s="48" t="str">
        <f t="shared" si="66"/>
        <v/>
      </c>
      <c r="BP16" s="48">
        <f t="shared" si="67"/>
        <v>3500</v>
      </c>
      <c r="BQ16" s="57"/>
      <c r="BR16" s="113">
        <f t="shared" si="68"/>
        <v>2607.2216666666668</v>
      </c>
      <c r="BS16" s="113">
        <f t="shared" si="69"/>
        <v>644.27806549699869</v>
      </c>
      <c r="BT16" s="126">
        <f t="shared" si="70"/>
        <v>0.24711288408427054</v>
      </c>
      <c r="BU16" s="51"/>
      <c r="BV16" s="6">
        <f t="shared" si="100"/>
        <v>19.108333333333121</v>
      </c>
      <c r="BW16" s="6">
        <f t="shared" si="101"/>
        <v>907.22166666666681</v>
      </c>
      <c r="BX16" s="6">
        <f t="shared" si="102"/>
        <v>703.22166666666681</v>
      </c>
      <c r="BY16" s="6">
        <f t="shared" si="103"/>
        <v>92.778333333333194</v>
      </c>
      <c r="BZ16" s="6">
        <f t="shared" si="104"/>
        <v>605.77833333333319</v>
      </c>
      <c r="CA16" s="6"/>
      <c r="CB16" s="6">
        <f t="shared" si="93"/>
        <v>892.77833333333319</v>
      </c>
      <c r="CC16" s="7">
        <f t="shared" si="25"/>
        <v>907.22166666666681</v>
      </c>
      <c r="CD16" s="7">
        <f t="shared" si="72"/>
        <v>2626.33</v>
      </c>
      <c r="CE16" s="7" t="str">
        <f t="shared" si="73"/>
        <v/>
      </c>
      <c r="CF16" s="7">
        <f t="shared" si="74"/>
        <v>1904</v>
      </c>
      <c r="CG16" s="7">
        <f t="shared" si="75"/>
        <v>2700</v>
      </c>
      <c r="CH16" s="7">
        <f t="shared" si="76"/>
        <v>3213</v>
      </c>
      <c r="CI16" s="7" t="str">
        <f t="shared" si="26"/>
        <v/>
      </c>
      <c r="CJ16" s="7">
        <f t="shared" si="26"/>
        <v>3500</v>
      </c>
      <c r="CK16" s="111"/>
      <c r="CL16" s="138">
        <f t="shared" si="77"/>
        <v>2788.6660000000002</v>
      </c>
      <c r="CM16" s="138">
        <f t="shared" si="78"/>
        <v>548.25249130669704</v>
      </c>
      <c r="CN16" s="141">
        <f t="shared" si="79"/>
        <v>0.19660027099218658</v>
      </c>
      <c r="CO16" s="50"/>
      <c r="CP16" s="164">
        <f>ABS($CL16-CD16)</f>
        <v>162.33600000000024</v>
      </c>
      <c r="CQ16" s="164"/>
      <c r="CR16" s="147">
        <f t="shared" si="81"/>
        <v>884.66600000000017</v>
      </c>
      <c r="CS16" s="147">
        <f t="shared" si="82"/>
        <v>88.666000000000167</v>
      </c>
      <c r="CT16" s="147">
        <f t="shared" si="83"/>
        <v>424.33399999999983</v>
      </c>
      <c r="CU16" s="175"/>
      <c r="CV16" s="147">
        <f t="shared" si="84"/>
        <v>711.33399999999983</v>
      </c>
      <c r="CW16" s="159">
        <f t="shared" si="28"/>
        <v>884.66600000000017</v>
      </c>
      <c r="CX16" s="159">
        <f t="shared" si="29"/>
        <v>2626.33</v>
      </c>
      <c r="CY16" s="159" t="str">
        <f t="shared" si="85"/>
        <v/>
      </c>
      <c r="CZ16" s="159" t="str">
        <f t="shared" si="86"/>
        <v/>
      </c>
      <c r="DA16" s="159">
        <f t="shared" si="87"/>
        <v>2700</v>
      </c>
      <c r="DB16" s="159">
        <f t="shared" si="87"/>
        <v>3213</v>
      </c>
      <c r="DC16" s="159" t="str">
        <f t="shared" si="88"/>
        <v/>
      </c>
      <c r="DD16" s="159">
        <f t="shared" si="89"/>
        <v>3500</v>
      </c>
      <c r="DE16" s="158"/>
      <c r="DF16" s="159">
        <f t="shared" si="31"/>
        <v>3009.8325</v>
      </c>
      <c r="DG16" s="159">
        <f t="shared" si="32"/>
        <v>362.15036817425784</v>
      </c>
      <c r="DH16" s="160">
        <f t="shared" si="94"/>
        <v>0.12032243261851211</v>
      </c>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128">
        <f t="shared" si="95"/>
        <v>2607.2216666666668</v>
      </c>
      <c r="EI16" s="128">
        <f t="shared" si="95"/>
        <v>644.27806549699869</v>
      </c>
      <c r="EJ16" s="127">
        <f t="shared" si="91"/>
        <v>0.24711288408427054</v>
      </c>
      <c r="EK16" s="56"/>
      <c r="EL16" s="56"/>
    </row>
    <row r="17" spans="1:142" s="55" customFormat="1" ht="15">
      <c r="A17" s="168"/>
      <c r="B17" s="169"/>
      <c r="C17" s="170"/>
      <c r="D17" s="165"/>
      <c r="E17" s="165"/>
      <c r="F17" s="165"/>
      <c r="G17" s="165">
        <f>SUM(G11:G16)</f>
        <v>38864448</v>
      </c>
      <c r="H17" s="165"/>
      <c r="I17" s="166"/>
      <c r="J17" s="165"/>
      <c r="K17" s="165">
        <f>SUM(K11:K16)</f>
        <v>14270200</v>
      </c>
      <c r="L17" s="166"/>
      <c r="M17" s="166"/>
      <c r="N17" s="165"/>
      <c r="O17" s="165">
        <f>SUM(O11:O16)</f>
        <v>17992800</v>
      </c>
      <c r="P17" s="166"/>
      <c r="Q17" s="166"/>
      <c r="R17" s="165"/>
      <c r="S17" s="165">
        <f>SUM(S11:S16)</f>
        <v>28280000</v>
      </c>
      <c r="T17" s="166"/>
      <c r="U17" s="166"/>
      <c r="V17" s="165"/>
      <c r="W17" s="165">
        <f>SUM(W11:W16)</f>
        <v>29450400</v>
      </c>
      <c r="X17" s="166"/>
      <c r="Y17" s="166"/>
      <c r="Z17" s="165"/>
      <c r="AA17" s="165">
        <f>SUM(AA11:AA16)</f>
        <v>45815000</v>
      </c>
      <c r="AB17" s="166"/>
      <c r="AC17" s="166"/>
      <c r="AD17" s="165"/>
      <c r="AE17" s="165">
        <f>SUM(AE11:AE16)</f>
        <v>29400000</v>
      </c>
      <c r="AF17" s="171"/>
      <c r="AG17" s="167"/>
      <c r="AH17" s="167">
        <f>SUM(AH11:AH16)</f>
        <v>26534200</v>
      </c>
      <c r="AI17" s="46"/>
      <c r="AJ17" s="46"/>
      <c r="AK17" s="6"/>
      <c r="AL17" s="6"/>
      <c r="AM17" s="6"/>
      <c r="AN17" s="6"/>
      <c r="AO17" s="6"/>
      <c r="AP17" s="6"/>
      <c r="AQ17" s="6"/>
      <c r="AR17" s="48"/>
      <c r="AS17" s="48"/>
      <c r="AT17" s="53"/>
      <c r="AU17" s="48"/>
      <c r="AV17" s="48"/>
      <c r="AW17" s="30"/>
      <c r="AX17" s="48"/>
      <c r="AY17" s="107"/>
      <c r="AZ17" s="47"/>
      <c r="BA17" s="49"/>
      <c r="BB17" s="6"/>
      <c r="BC17" s="6"/>
      <c r="BD17" s="6"/>
      <c r="BE17" s="6"/>
      <c r="BF17" s="6"/>
      <c r="BG17" s="6"/>
      <c r="BH17" s="6"/>
      <c r="BI17" s="6"/>
      <c r="BJ17" s="48"/>
      <c r="BK17" s="48"/>
      <c r="BL17" s="48"/>
      <c r="BM17" s="48"/>
      <c r="BN17" s="48"/>
      <c r="BO17" s="48"/>
      <c r="BP17" s="48"/>
      <c r="BQ17" s="57"/>
      <c r="BR17" s="113"/>
      <c r="BS17" s="113"/>
      <c r="BT17" s="126"/>
      <c r="BU17" s="51"/>
      <c r="BV17" s="6"/>
      <c r="BW17" s="6"/>
      <c r="BX17" s="6"/>
      <c r="BY17" s="6"/>
      <c r="BZ17" s="6"/>
      <c r="CA17" s="6"/>
      <c r="CB17" s="6"/>
      <c r="CC17" s="7"/>
      <c r="CD17" s="7"/>
      <c r="CE17" s="7"/>
      <c r="CF17" s="7"/>
      <c r="CG17" s="7"/>
      <c r="CH17" s="7"/>
      <c r="CI17" s="7"/>
      <c r="CJ17" s="7"/>
      <c r="CK17" s="111"/>
      <c r="CL17" s="118"/>
      <c r="CM17" s="118"/>
      <c r="CN17" s="52"/>
      <c r="CO17" s="50"/>
      <c r="CP17" s="147"/>
      <c r="CQ17" s="147"/>
      <c r="CR17" s="147"/>
      <c r="CS17" s="147"/>
      <c r="CT17" s="147"/>
      <c r="CU17" s="7"/>
      <c r="CV17" s="159"/>
      <c r="CW17" s="159"/>
      <c r="CX17" s="159"/>
      <c r="CY17" s="159"/>
      <c r="CZ17" s="159"/>
      <c r="DA17" s="159"/>
      <c r="DB17" s="159"/>
      <c r="DC17" s="159"/>
      <c r="DD17" s="159"/>
      <c r="DE17" s="158"/>
      <c r="DF17" s="159"/>
      <c r="DG17" s="159"/>
      <c r="DH17" s="160"/>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128">
        <f t="shared" si="95"/>
        <v>0</v>
      </c>
      <c r="EI17" s="128">
        <f t="shared" si="95"/>
        <v>0</v>
      </c>
      <c r="EJ17" s="127" t="e">
        <f t="shared" ref="EJ17" si="105">EI17/EH17</f>
        <v>#DIV/0!</v>
      </c>
      <c r="EK17" s="56"/>
      <c r="EL17" s="56"/>
    </row>
    <row r="18" spans="1:142" s="59" customFormat="1" ht="19.5" customHeight="1">
      <c r="A18" s="230" t="s">
        <v>69</v>
      </c>
      <c r="B18" s="231"/>
      <c r="C18" s="231"/>
      <c r="D18" s="231"/>
      <c r="E18" s="231"/>
      <c r="F18" s="231"/>
      <c r="G18" s="231"/>
      <c r="H18" s="231"/>
      <c r="I18" s="232"/>
      <c r="J18" s="227">
        <v>15</v>
      </c>
      <c r="K18" s="228"/>
      <c r="L18" s="228"/>
      <c r="M18" s="228"/>
      <c r="N18" s="228"/>
      <c r="O18" s="229"/>
      <c r="P18" s="224" t="s">
        <v>62</v>
      </c>
      <c r="Q18" s="225"/>
      <c r="R18" s="225"/>
      <c r="S18" s="225"/>
      <c r="T18" s="225"/>
      <c r="U18" s="225"/>
      <c r="V18" s="225"/>
      <c r="W18" s="225"/>
      <c r="X18" s="225"/>
      <c r="Y18" s="225"/>
      <c r="Z18" s="225"/>
      <c r="AA18" s="225"/>
      <c r="AB18" s="225"/>
      <c r="AC18" s="225"/>
      <c r="AD18" s="225"/>
      <c r="AE18" s="225"/>
      <c r="AF18" s="226"/>
      <c r="AG18" s="222">
        <f>+AH17</f>
        <v>26534200</v>
      </c>
      <c r="AH18" s="223"/>
      <c r="AI18" s="146"/>
      <c r="AJ18" s="146"/>
      <c r="AM18" s="6"/>
      <c r="AO18" s="8"/>
      <c r="AP18" s="174"/>
      <c r="AW18" s="103"/>
      <c r="AX18" s="2"/>
      <c r="AY18" s="2"/>
      <c r="AZ18" s="2"/>
      <c r="BA18" s="60"/>
      <c r="BI18" s="6"/>
      <c r="BP18" s="57"/>
      <c r="BQ18" s="30"/>
      <c r="BU18" s="58"/>
      <c r="BV18" s="6"/>
      <c r="BW18" s="6"/>
      <c r="BX18" s="6"/>
      <c r="BY18" s="6"/>
      <c r="BZ18" s="6"/>
      <c r="CA18" s="6"/>
      <c r="CB18" s="6"/>
      <c r="CC18" s="7"/>
      <c r="CD18" s="7"/>
      <c r="CE18" s="7"/>
      <c r="CF18" s="7"/>
      <c r="CG18" s="7"/>
      <c r="CH18" s="7"/>
      <c r="CI18" s="7"/>
      <c r="CJ18" s="7"/>
      <c r="CK18" s="103"/>
      <c r="CL18" s="118"/>
      <c r="CM18" s="118"/>
      <c r="CO18" s="61"/>
      <c r="CP18" s="161"/>
      <c r="CQ18" s="161"/>
      <c r="CR18" s="161"/>
      <c r="CS18" s="161"/>
      <c r="CT18" s="161"/>
      <c r="CU18" s="7"/>
      <c r="CV18" s="132"/>
      <c r="CW18" s="132"/>
      <c r="CX18" s="132"/>
      <c r="CY18" s="132"/>
      <c r="CZ18" s="132"/>
      <c r="DA18" s="132"/>
      <c r="DB18" s="132"/>
      <c r="DC18" s="132"/>
      <c r="DD18" s="132"/>
      <c r="DE18" s="119"/>
      <c r="DG18" s="2"/>
      <c r="EH18" s="28"/>
      <c r="EI18" s="28"/>
      <c r="EJ18" s="123"/>
    </row>
    <row r="19" spans="1:142" s="26" customFormat="1" ht="24" customHeight="1">
      <c r="A19" s="203"/>
      <c r="B19" s="203"/>
      <c r="C19" s="154"/>
      <c r="D19" s="62"/>
      <c r="E19" s="62"/>
      <c r="F19" s="63"/>
      <c r="G19" s="63"/>
      <c r="H19" s="63"/>
      <c r="I19" s="63"/>
      <c r="J19" s="63"/>
      <c r="K19" s="63"/>
      <c r="L19" s="63"/>
      <c r="M19" s="63"/>
      <c r="N19" s="63"/>
      <c r="O19" s="63"/>
      <c r="P19" s="63"/>
      <c r="Q19" s="63"/>
      <c r="R19" s="63"/>
      <c r="S19" s="64"/>
      <c r="T19" s="64"/>
      <c r="U19" s="64"/>
      <c r="V19" s="64"/>
      <c r="W19" s="64"/>
      <c r="X19" s="64"/>
      <c r="Y19" s="64"/>
      <c r="Z19" s="64"/>
      <c r="AA19" s="64"/>
      <c r="AB19" s="65"/>
      <c r="AC19" s="65"/>
      <c r="AD19" s="65"/>
      <c r="AE19" s="65"/>
      <c r="AF19" s="66"/>
      <c r="AG19" s="67"/>
      <c r="AH19" s="67"/>
      <c r="AI19" s="68"/>
      <c r="AJ19" s="68"/>
      <c r="AK19" s="2"/>
      <c r="AL19" s="2"/>
      <c r="AM19" s="2"/>
      <c r="AN19" s="2"/>
      <c r="AO19" s="2"/>
      <c r="AP19" s="2"/>
      <c r="AQ19" s="2"/>
      <c r="AR19" s="2"/>
      <c r="AS19" s="2"/>
      <c r="AT19" s="2"/>
      <c r="AU19" s="2"/>
      <c r="AV19" s="2"/>
      <c r="AX19" s="2"/>
      <c r="AY19" s="2"/>
      <c r="AZ19" s="2"/>
      <c r="BA19" s="2"/>
      <c r="BB19" s="2"/>
      <c r="BC19" s="2"/>
      <c r="BD19" s="2"/>
      <c r="BE19" s="2"/>
      <c r="BF19" s="2"/>
      <c r="BG19" s="2"/>
      <c r="BH19" s="2"/>
      <c r="BI19" s="2"/>
      <c r="BJ19" s="2"/>
      <c r="BK19" s="2"/>
      <c r="BL19" s="2"/>
      <c r="BM19" s="2"/>
      <c r="BN19" s="2"/>
      <c r="BO19" s="2"/>
      <c r="BP19" s="2"/>
      <c r="BR19" s="2"/>
      <c r="BS19" s="2"/>
      <c r="BT19" s="2"/>
      <c r="BU19" s="2"/>
      <c r="BV19" s="2"/>
      <c r="BW19" s="2"/>
      <c r="BX19" s="2"/>
      <c r="BY19" s="2"/>
      <c r="BZ19" s="2"/>
      <c r="CA19" s="2"/>
      <c r="CB19" s="2"/>
      <c r="CC19" s="2"/>
      <c r="CD19" s="2"/>
      <c r="CE19" s="2"/>
      <c r="CF19" s="2"/>
      <c r="CG19" s="2"/>
      <c r="CH19" s="2"/>
      <c r="CI19" s="2"/>
      <c r="CJ19" s="2"/>
      <c r="CL19" s="2"/>
      <c r="CM19" s="2"/>
      <c r="CN19" s="2"/>
      <c r="CO19" s="2"/>
      <c r="CP19" s="29"/>
      <c r="CQ19" s="29"/>
      <c r="CR19" s="29"/>
      <c r="CS19" s="29"/>
      <c r="CT19" s="29"/>
      <c r="CU19" s="2"/>
      <c r="CV19" s="29"/>
      <c r="CW19" s="29"/>
      <c r="CX19" s="29"/>
      <c r="CY19" s="29"/>
      <c r="CZ19" s="29"/>
      <c r="DA19" s="29"/>
      <c r="DB19" s="29"/>
      <c r="DC19" s="29"/>
      <c r="DD19" s="29"/>
      <c r="DE19" s="2"/>
      <c r="DF19" s="2"/>
      <c r="DG19" s="2"/>
      <c r="DH19" s="69"/>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8"/>
      <c r="EI19" s="28"/>
      <c r="EJ19" s="123"/>
      <c r="EK19" s="28"/>
      <c r="EL19" s="28"/>
    </row>
    <row r="20" spans="1:142" ht="55.5" customHeight="1">
      <c r="A20" s="280" t="s">
        <v>75</v>
      </c>
      <c r="B20" s="281"/>
      <c r="C20" s="281"/>
      <c r="D20" s="281"/>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2"/>
      <c r="BA20" s="2"/>
    </row>
    <row r="21" spans="1:142" ht="100.5" customHeight="1">
      <c r="A21" s="283" t="s">
        <v>78</v>
      </c>
      <c r="B21" s="284"/>
      <c r="C21" s="284"/>
      <c r="D21" s="284"/>
      <c r="E21" s="284"/>
      <c r="F21" s="284"/>
      <c r="G21" s="284"/>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5"/>
      <c r="BA21" s="2"/>
    </row>
    <row r="22" spans="1:142" ht="30" customHeight="1">
      <c r="A22" s="286" t="s">
        <v>76</v>
      </c>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c r="AC22" s="287"/>
      <c r="AD22" s="287"/>
      <c r="AE22" s="287"/>
      <c r="AF22" s="287"/>
      <c r="AG22" s="287"/>
      <c r="AH22" s="288"/>
      <c r="BA22" s="2"/>
    </row>
    <row r="23" spans="1:142">
      <c r="BA23" s="2"/>
    </row>
    <row r="24" spans="1:142">
      <c r="BA24" s="2"/>
    </row>
    <row r="25" spans="1:142" s="32" customFormat="1" ht="63" customHeight="1" thickBot="1">
      <c r="A25" s="98"/>
      <c r="B25" s="71"/>
      <c r="C25" s="71"/>
      <c r="D25" s="72"/>
      <c r="E25" s="72"/>
      <c r="F25" s="73"/>
      <c r="G25" s="73"/>
      <c r="H25" s="73"/>
      <c r="I25" s="73"/>
      <c r="J25" s="73"/>
      <c r="P25" s="73"/>
      <c r="Q25" s="73"/>
      <c r="R25" s="73"/>
      <c r="S25" s="73"/>
      <c r="T25" s="73"/>
      <c r="U25" s="13"/>
      <c r="V25" s="13"/>
      <c r="W25" s="13"/>
      <c r="X25" s="13"/>
      <c r="Y25" s="13"/>
      <c r="Z25" s="13"/>
      <c r="AA25" s="13"/>
      <c r="AB25" s="13"/>
      <c r="AC25" s="14"/>
      <c r="AD25" s="1"/>
      <c r="AE25" s="1"/>
      <c r="AF25" s="1"/>
      <c r="AG25" s="1"/>
      <c r="AH25" s="1"/>
      <c r="AI25" s="1"/>
      <c r="AJ25" s="1"/>
      <c r="AK25" s="1"/>
      <c r="AL25" s="1"/>
      <c r="AM25" s="121"/>
      <c r="AO25" s="1"/>
      <c r="AP25" s="121"/>
      <c r="AQ25" s="162"/>
      <c r="AR25" s="2"/>
      <c r="AS25" s="1"/>
      <c r="AT25" s="1"/>
      <c r="AU25" s="1"/>
      <c r="AV25" s="1"/>
      <c r="AW25" s="1"/>
      <c r="AX25" s="1"/>
      <c r="AY25" s="1"/>
      <c r="AZ25" s="1"/>
      <c r="BA25" s="1"/>
      <c r="BB25" s="1"/>
      <c r="BC25" s="1"/>
      <c r="BE25" s="1"/>
      <c r="BF25" s="1"/>
      <c r="BG25" s="1"/>
      <c r="BH25" s="1"/>
      <c r="BI25" s="1"/>
      <c r="BJ25" s="1"/>
      <c r="BK25" s="1"/>
      <c r="BL25" s="1"/>
      <c r="BM25" s="1"/>
      <c r="BN25" s="1"/>
      <c r="BO25" s="1"/>
      <c r="BP25" s="1"/>
      <c r="BQ25" s="1"/>
      <c r="BR25" s="1"/>
      <c r="BS25" s="1"/>
      <c r="BU25" s="1"/>
      <c r="BV25" s="1"/>
      <c r="BW25" s="1"/>
      <c r="BX25" s="1"/>
      <c r="BY25" s="15"/>
      <c r="BZ25" s="15"/>
      <c r="CA25" s="15"/>
      <c r="CB25" s="15"/>
      <c r="CC25" s="15"/>
      <c r="CD25" s="15"/>
      <c r="CE25" s="15"/>
      <c r="CF25" s="15"/>
      <c r="CG25" s="15"/>
      <c r="CH25" s="15"/>
      <c r="CI25" s="15"/>
      <c r="CJ25" s="15"/>
      <c r="CK25" s="15"/>
      <c r="CL25" s="1"/>
      <c r="CM25" s="1"/>
      <c r="CN25" s="1"/>
      <c r="CO25" s="70"/>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4"/>
      <c r="DP25" s="14"/>
      <c r="DQ25" s="124"/>
      <c r="DR25" s="14"/>
      <c r="DS25" s="14"/>
    </row>
    <row r="26" spans="1:142" s="82" customFormat="1" ht="19.5" customHeight="1" thickTop="1">
      <c r="A26" s="95"/>
      <c r="B26" s="74"/>
      <c r="C26" s="75"/>
      <c r="D26" s="292" t="s">
        <v>47</v>
      </c>
      <c r="E26" s="292"/>
      <c r="F26" s="292"/>
      <c r="G26" s="292"/>
      <c r="H26" s="76"/>
      <c r="I26" s="76"/>
      <c r="J26" s="76"/>
      <c r="P26" s="292" t="s">
        <v>71</v>
      </c>
      <c r="Q26" s="292"/>
      <c r="R26" s="292"/>
      <c r="S26" s="292"/>
      <c r="T26" s="292"/>
      <c r="U26" s="13"/>
      <c r="V26" s="13"/>
      <c r="W26" s="13"/>
      <c r="X26" s="13"/>
      <c r="Y26" s="13"/>
      <c r="Z26" s="13"/>
      <c r="AA26" s="77"/>
      <c r="AB26" s="77"/>
      <c r="AC26" s="78"/>
      <c r="AD26" s="9"/>
      <c r="AE26" s="9"/>
      <c r="AF26" s="9"/>
      <c r="AG26" s="9"/>
      <c r="AH26" s="9"/>
      <c r="AI26" s="9"/>
      <c r="AJ26" s="9"/>
      <c r="AK26" s="9"/>
      <c r="AL26" s="9"/>
      <c r="AM26" s="9"/>
      <c r="AO26" s="9"/>
      <c r="AP26" s="9"/>
      <c r="AQ26" s="9"/>
      <c r="AR26" s="55"/>
      <c r="AS26" s="9"/>
      <c r="AT26" s="9"/>
      <c r="AU26" s="9"/>
      <c r="AV26" s="9"/>
      <c r="AW26" s="9"/>
      <c r="AX26" s="9"/>
      <c r="AY26" s="9"/>
      <c r="AZ26" s="9"/>
      <c r="BA26" s="9"/>
      <c r="BB26" s="9"/>
      <c r="BC26" s="9"/>
      <c r="BE26" s="9"/>
      <c r="BF26" s="9"/>
      <c r="BG26" s="9"/>
      <c r="BH26" s="9"/>
      <c r="BI26" s="9"/>
      <c r="BJ26" s="9"/>
      <c r="BK26" s="9"/>
      <c r="BL26" s="9"/>
      <c r="BM26" s="9"/>
      <c r="BN26" s="9"/>
      <c r="BO26" s="9"/>
      <c r="BP26" s="9"/>
      <c r="BQ26" s="9"/>
      <c r="BR26" s="9"/>
      <c r="BS26" s="9"/>
      <c r="BU26" s="9"/>
      <c r="BV26" s="9"/>
      <c r="BW26" s="9"/>
      <c r="BX26" s="9"/>
      <c r="BY26" s="133"/>
      <c r="BZ26" s="133"/>
      <c r="CA26" s="133"/>
      <c r="CB26" s="133"/>
      <c r="CC26" s="133"/>
      <c r="CD26" s="133"/>
      <c r="CE26" s="133"/>
      <c r="CF26" s="133"/>
      <c r="CG26" s="133"/>
      <c r="CH26" s="133"/>
      <c r="CI26" s="133"/>
      <c r="CJ26" s="133"/>
      <c r="CK26" s="133"/>
      <c r="CL26" s="9"/>
      <c r="CM26" s="9"/>
      <c r="CN26" s="9"/>
      <c r="CO26" s="7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81"/>
      <c r="DP26" s="81"/>
      <c r="DQ26" s="125"/>
      <c r="DR26" s="81"/>
      <c r="DS26" s="81"/>
    </row>
    <row r="27" spans="1:142" s="32" customFormat="1" ht="13.5" customHeight="1">
      <c r="A27" s="289" t="s">
        <v>0</v>
      </c>
      <c r="B27" s="289"/>
      <c r="C27" s="1"/>
      <c r="D27" s="290" t="s">
        <v>48</v>
      </c>
      <c r="E27" s="290"/>
      <c r="F27" s="290"/>
      <c r="G27" s="290"/>
      <c r="H27" s="80"/>
      <c r="I27" s="80"/>
      <c r="J27" s="80"/>
      <c r="P27" s="291" t="s">
        <v>72</v>
      </c>
      <c r="Q27" s="291"/>
      <c r="R27" s="291"/>
      <c r="S27" s="291"/>
      <c r="T27" s="291"/>
      <c r="U27" s="55"/>
      <c r="V27" s="291"/>
      <c r="W27" s="291"/>
      <c r="X27" s="291"/>
      <c r="Y27" s="291"/>
      <c r="Z27" s="291"/>
      <c r="AA27" s="56"/>
      <c r="AB27" s="56"/>
      <c r="AC27" s="46"/>
      <c r="AD27" s="9"/>
      <c r="AE27" s="9"/>
      <c r="AF27" s="9"/>
      <c r="AG27" s="9"/>
      <c r="AH27" s="9"/>
      <c r="AI27" s="9"/>
      <c r="AJ27" s="1"/>
      <c r="AK27" s="1"/>
      <c r="AL27" s="1"/>
      <c r="AO27" s="1"/>
      <c r="AP27" s="148"/>
      <c r="AQ27" s="1"/>
      <c r="AR27" s="2"/>
      <c r="AS27" s="1"/>
      <c r="AT27" s="1"/>
      <c r="AU27" s="1"/>
      <c r="AV27" s="1"/>
      <c r="AW27" s="1"/>
      <c r="AX27" s="1"/>
      <c r="AY27" s="1"/>
      <c r="AZ27" s="1"/>
      <c r="BA27" s="1"/>
      <c r="BB27" s="1"/>
      <c r="BC27" s="1"/>
      <c r="BE27" s="1"/>
      <c r="BF27" s="1"/>
      <c r="BG27" s="1"/>
      <c r="BH27" s="1"/>
      <c r="BI27" s="1"/>
      <c r="BJ27" s="1"/>
      <c r="BK27" s="1"/>
      <c r="BL27" s="1"/>
      <c r="BM27" s="1"/>
      <c r="BN27" s="1"/>
      <c r="BO27" s="1"/>
      <c r="BP27" s="1"/>
      <c r="BQ27" s="1"/>
      <c r="BR27" s="1"/>
      <c r="BS27" s="1"/>
      <c r="BU27" s="1"/>
      <c r="BV27" s="1"/>
      <c r="BW27" s="1"/>
      <c r="BX27" s="1"/>
      <c r="BY27" s="15"/>
      <c r="BZ27" s="15"/>
      <c r="CA27" s="15"/>
      <c r="CB27" s="15"/>
      <c r="CC27" s="15"/>
      <c r="CD27" s="15"/>
      <c r="CE27" s="15"/>
      <c r="CF27" s="15"/>
      <c r="CG27" s="15"/>
      <c r="CH27" s="15"/>
      <c r="CI27" s="15"/>
      <c r="CJ27" s="15"/>
      <c r="CK27" s="15"/>
      <c r="CL27" s="1"/>
      <c r="CM27" s="1"/>
      <c r="CN27" s="1"/>
      <c r="CO27" s="70"/>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4"/>
      <c r="DP27" s="14"/>
      <c r="DQ27" s="124"/>
      <c r="DR27" s="14"/>
      <c r="DS27" s="14"/>
    </row>
    <row r="28" spans="1:142" s="32" customFormat="1" ht="13.5" customHeight="1">
      <c r="A28" s="99"/>
      <c r="B28" s="153"/>
      <c r="C28" s="83"/>
      <c r="D28" s="85"/>
      <c r="E28" s="85"/>
      <c r="F28" s="84"/>
      <c r="G28" s="84"/>
      <c r="H28" s="84"/>
      <c r="I28" s="84"/>
      <c r="J28" s="84"/>
      <c r="P28" s="291" t="s">
        <v>65</v>
      </c>
      <c r="Q28" s="291"/>
      <c r="R28" s="291"/>
      <c r="S28" s="291"/>
      <c r="T28" s="291"/>
      <c r="U28" s="55"/>
      <c r="V28" s="291"/>
      <c r="W28" s="291"/>
      <c r="X28" s="291"/>
      <c r="Y28" s="291"/>
      <c r="Z28" s="291"/>
      <c r="AA28" s="56"/>
      <c r="AB28" s="56"/>
      <c r="AC28" s="46"/>
      <c r="AD28" s="9"/>
      <c r="AE28" s="9"/>
      <c r="AF28" s="9"/>
      <c r="AG28" s="9"/>
      <c r="AH28" s="9"/>
      <c r="AI28" s="9"/>
      <c r="AJ28" s="1"/>
      <c r="AK28" s="1"/>
      <c r="AL28" s="1"/>
      <c r="AM28" s="1"/>
      <c r="AO28" s="1"/>
      <c r="AP28" s="1"/>
      <c r="AQ28" s="1"/>
      <c r="AR28" s="2"/>
      <c r="AS28" s="1"/>
      <c r="AT28" s="1"/>
      <c r="AU28" s="1"/>
      <c r="AV28" s="1"/>
      <c r="AW28" s="1"/>
      <c r="AX28" s="1"/>
      <c r="AY28" s="1"/>
      <c r="AZ28" s="1"/>
      <c r="BA28" s="1"/>
      <c r="BB28" s="1"/>
      <c r="BC28" s="1"/>
      <c r="BE28" s="1"/>
      <c r="BF28" s="1"/>
      <c r="BG28" s="1"/>
      <c r="BH28" s="1"/>
      <c r="BI28" s="1"/>
      <c r="BJ28" s="1"/>
      <c r="BK28" s="1"/>
      <c r="BL28" s="1"/>
      <c r="BM28" s="1"/>
      <c r="BN28" s="1"/>
      <c r="BO28" s="1"/>
      <c r="BP28" s="1"/>
      <c r="BQ28" s="1"/>
      <c r="BR28" s="1"/>
      <c r="BS28" s="1"/>
      <c r="BU28" s="1"/>
      <c r="BV28" s="1"/>
      <c r="BW28" s="1"/>
      <c r="BX28" s="1"/>
      <c r="BY28" s="15"/>
      <c r="BZ28" s="15"/>
      <c r="CA28" s="15"/>
      <c r="CB28" s="15"/>
      <c r="CC28" s="15"/>
      <c r="CD28" s="15"/>
      <c r="CE28" s="15"/>
      <c r="CF28" s="15"/>
      <c r="CG28" s="15"/>
      <c r="CH28" s="15"/>
      <c r="CI28" s="15"/>
      <c r="CJ28" s="15"/>
      <c r="CK28" s="15"/>
      <c r="CL28" s="1"/>
      <c r="CM28" s="1"/>
      <c r="CN28" s="1"/>
      <c r="CO28" s="70"/>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4"/>
      <c r="DP28" s="14"/>
      <c r="DQ28" s="124"/>
      <c r="DR28" s="14"/>
      <c r="DS28" s="14"/>
    </row>
    <row r="29" spans="1:142" s="32" customFormat="1" ht="12.75">
      <c r="A29" s="279" t="s">
        <v>66</v>
      </c>
      <c r="B29" s="279"/>
      <c r="C29" s="279"/>
      <c r="D29" s="279"/>
      <c r="E29" s="279"/>
      <c r="F29" s="279"/>
      <c r="G29" s="279"/>
      <c r="H29" s="279"/>
      <c r="I29" s="279"/>
      <c r="J29" s="279"/>
      <c r="K29" s="279"/>
      <c r="L29" s="279"/>
      <c r="M29" s="279"/>
      <c r="N29" s="279"/>
      <c r="O29" s="153"/>
      <c r="P29" s="153"/>
      <c r="Q29" s="153"/>
      <c r="R29" s="153"/>
      <c r="S29" s="153"/>
      <c r="T29" s="13"/>
      <c r="U29" s="13"/>
      <c r="V29" s="13"/>
      <c r="W29" s="13"/>
      <c r="X29" s="1"/>
      <c r="Y29" s="13"/>
      <c r="Z29" s="13"/>
      <c r="AA29" s="13"/>
      <c r="AB29" s="13"/>
      <c r="AC29" s="14"/>
      <c r="AD29" s="1"/>
      <c r="AE29" s="1"/>
      <c r="AF29" s="1"/>
      <c r="AG29" s="1"/>
      <c r="AH29" s="1"/>
      <c r="AI29" s="1"/>
      <c r="AJ29" s="1"/>
      <c r="AK29" s="1"/>
      <c r="AL29" s="1"/>
      <c r="AM29" s="1"/>
      <c r="AO29" s="1"/>
      <c r="AP29" s="1"/>
      <c r="AQ29" s="1"/>
      <c r="AR29" s="2"/>
      <c r="AS29" s="1"/>
      <c r="AT29" s="1"/>
      <c r="AU29" s="1"/>
      <c r="AV29" s="1"/>
      <c r="AW29" s="1"/>
      <c r="AX29" s="1"/>
      <c r="AY29" s="1"/>
      <c r="AZ29" s="1"/>
      <c r="BA29" s="1"/>
      <c r="BB29" s="1"/>
      <c r="BC29" s="1"/>
      <c r="BE29" s="1"/>
      <c r="BF29" s="1"/>
      <c r="BG29" s="1"/>
      <c r="BH29" s="1"/>
      <c r="BI29" s="1"/>
      <c r="BJ29" s="1"/>
      <c r="BK29" s="1"/>
      <c r="BL29" s="1"/>
      <c r="BM29" s="1"/>
      <c r="BN29" s="1"/>
      <c r="BO29" s="1"/>
      <c r="BP29" s="1"/>
      <c r="BQ29" s="1"/>
      <c r="BR29" s="1"/>
      <c r="BS29" s="1"/>
      <c r="BU29" s="1"/>
      <c r="BV29" s="1"/>
      <c r="BW29" s="1"/>
      <c r="BX29" s="1"/>
      <c r="BY29" s="15"/>
      <c r="BZ29" s="15"/>
      <c r="CA29" s="15"/>
      <c r="CB29" s="15"/>
      <c r="CC29" s="15"/>
      <c r="CD29" s="15"/>
      <c r="CE29" s="15"/>
      <c r="CF29" s="15"/>
      <c r="CG29" s="15"/>
      <c r="CH29" s="15"/>
      <c r="CI29" s="15"/>
      <c r="CJ29" s="15"/>
      <c r="CK29" s="15"/>
      <c r="CL29" s="1"/>
      <c r="CM29" s="1"/>
      <c r="CN29" s="1"/>
      <c r="CO29" s="70"/>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4"/>
      <c r="DP29" s="14"/>
      <c r="DQ29" s="124"/>
      <c r="DR29" s="14"/>
      <c r="DS29" s="14"/>
    </row>
    <row r="30" spans="1:142" s="32" customFormat="1" ht="12.75">
      <c r="A30" s="279" t="s">
        <v>18</v>
      </c>
      <c r="B30" s="279"/>
      <c r="C30" s="279"/>
      <c r="D30" s="279"/>
      <c r="E30" s="279"/>
      <c r="F30" s="279"/>
      <c r="G30" s="279"/>
      <c r="H30" s="279"/>
      <c r="I30" s="279"/>
      <c r="J30" s="279"/>
      <c r="K30" s="279"/>
      <c r="L30" s="279"/>
      <c r="M30" s="279"/>
      <c r="N30" s="279"/>
      <c r="O30" s="153"/>
      <c r="P30" s="153"/>
      <c r="Q30" s="153"/>
      <c r="R30" s="153"/>
      <c r="S30" s="153"/>
      <c r="T30" s="13"/>
      <c r="U30" s="13"/>
      <c r="V30" s="13"/>
      <c r="W30" s="13"/>
      <c r="X30" s="1"/>
      <c r="Y30" s="13"/>
      <c r="Z30" s="13"/>
      <c r="AA30" s="13"/>
      <c r="AB30" s="13"/>
      <c r="AC30" s="14"/>
      <c r="AD30" s="1"/>
      <c r="AE30" s="1"/>
      <c r="AF30" s="1"/>
      <c r="AG30" s="1"/>
      <c r="AH30" s="1"/>
      <c r="AI30" s="1"/>
      <c r="AJ30" s="1"/>
      <c r="AK30" s="1"/>
      <c r="AL30" s="1"/>
      <c r="AM30" s="1"/>
      <c r="AO30" s="1"/>
      <c r="AP30" s="1"/>
      <c r="AQ30" s="1"/>
      <c r="AR30" s="2"/>
      <c r="AS30" s="1"/>
      <c r="AT30" s="1"/>
      <c r="AU30" s="1"/>
      <c r="AV30" s="1"/>
      <c r="AW30" s="1"/>
      <c r="AX30" s="1"/>
      <c r="AY30" s="1"/>
      <c r="AZ30" s="1"/>
      <c r="BA30" s="1"/>
      <c r="BB30" s="1"/>
      <c r="BC30" s="1"/>
      <c r="BE30" s="1"/>
      <c r="BF30" s="1"/>
      <c r="BG30" s="1"/>
      <c r="BH30" s="1"/>
      <c r="BI30" s="1"/>
      <c r="BJ30" s="1"/>
      <c r="BK30" s="1"/>
      <c r="BL30" s="1"/>
      <c r="BM30" s="1"/>
      <c r="BN30" s="1"/>
      <c r="BO30" s="1"/>
      <c r="BP30" s="1"/>
      <c r="BQ30" s="1"/>
      <c r="BR30" s="1"/>
      <c r="BS30" s="1"/>
      <c r="BU30" s="1"/>
      <c r="BV30" s="1"/>
      <c r="BW30" s="1"/>
      <c r="BX30" s="1"/>
      <c r="BY30" s="15"/>
      <c r="BZ30" s="15"/>
      <c r="CA30" s="15"/>
      <c r="CB30" s="15"/>
      <c r="CC30" s="15"/>
      <c r="CD30" s="15"/>
      <c r="CE30" s="15"/>
      <c r="CF30" s="15"/>
      <c r="CG30" s="15"/>
      <c r="CH30" s="15"/>
      <c r="CI30" s="15"/>
      <c r="CJ30" s="15"/>
      <c r="CK30" s="15"/>
      <c r="CL30" s="1"/>
      <c r="CM30" s="1"/>
      <c r="CN30" s="1"/>
      <c r="CO30" s="70"/>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4"/>
      <c r="DP30" s="14"/>
      <c r="DQ30" s="124"/>
      <c r="DR30" s="14"/>
      <c r="DS30" s="14"/>
    </row>
    <row r="31" spans="1:142">
      <c r="BA31" s="2"/>
    </row>
    <row r="32" spans="1:142">
      <c r="BA32" s="2"/>
    </row>
    <row r="33" spans="53:53">
      <c r="BA33" s="2"/>
    </row>
    <row r="34" spans="53:53">
      <c r="BA34" s="2"/>
    </row>
    <row r="35" spans="53:53">
      <c r="BA35" s="2"/>
    </row>
    <row r="36" spans="53:53">
      <c r="BA36" s="2"/>
    </row>
    <row r="37" spans="53:53">
      <c r="BA37" s="2"/>
    </row>
    <row r="38" spans="53:53">
      <c r="BA38" s="2"/>
    </row>
    <row r="39" spans="53:53">
      <c r="BA39" s="2"/>
    </row>
    <row r="40" spans="53:53">
      <c r="BA40" s="2"/>
    </row>
    <row r="41" spans="53:53">
      <c r="BA41" s="2"/>
    </row>
    <row r="42" spans="53:53">
      <c r="BA42" s="2"/>
    </row>
    <row r="43" spans="53:53">
      <c r="BA43" s="2"/>
    </row>
    <row r="44" spans="53:53">
      <c r="BA44" s="2"/>
    </row>
    <row r="45" spans="53:53">
      <c r="BA45" s="2"/>
    </row>
    <row r="46" spans="53:53">
      <c r="BA46" s="2"/>
    </row>
    <row r="47" spans="53:53">
      <c r="BA47" s="2"/>
    </row>
    <row r="48" spans="53:53">
      <c r="BA48" s="2"/>
    </row>
    <row r="49" spans="53:53">
      <c r="BA49" s="2"/>
    </row>
    <row r="50" spans="53:53">
      <c r="BA50" s="2"/>
    </row>
    <row r="51" spans="53:53">
      <c r="BA51" s="2"/>
    </row>
    <row r="52" spans="53:53">
      <c r="BA52" s="2"/>
    </row>
    <row r="53" spans="53:53">
      <c r="BA53" s="2"/>
    </row>
    <row r="54" spans="53:53">
      <c r="BA54" s="2"/>
    </row>
    <row r="55" spans="53:53">
      <c r="BA55" s="2"/>
    </row>
  </sheetData>
  <autoFilter ref="A10:EL18" xr:uid="{00000000-0009-0000-0000-000001000000}"/>
  <mergeCells count="58">
    <mergeCell ref="A29:N29"/>
    <mergeCell ref="A30:N30"/>
    <mergeCell ref="A20:AH20"/>
    <mergeCell ref="A21:AH21"/>
    <mergeCell ref="A22:AH22"/>
    <mergeCell ref="A27:B27"/>
    <mergeCell ref="D27:G27"/>
    <mergeCell ref="P27:T27"/>
    <mergeCell ref="V27:Z27"/>
    <mergeCell ref="P28:T28"/>
    <mergeCell ref="V28:Z28"/>
    <mergeCell ref="D26:G26"/>
    <mergeCell ref="P26:T26"/>
    <mergeCell ref="D8:G8"/>
    <mergeCell ref="L3:AA3"/>
    <mergeCell ref="A6:AA6"/>
    <mergeCell ref="A7:AA7"/>
    <mergeCell ref="B3:K3"/>
    <mergeCell ref="H9:K9"/>
    <mergeCell ref="L9:O9"/>
    <mergeCell ref="AB1:AF1"/>
    <mergeCell ref="AB2:AF2"/>
    <mergeCell ref="AB3:AF3"/>
    <mergeCell ref="AK8:AV8"/>
    <mergeCell ref="AR9:AV9"/>
    <mergeCell ref="P8:AE8"/>
    <mergeCell ref="AH8:AH10"/>
    <mergeCell ref="P9:S9"/>
    <mergeCell ref="AF8:AF10"/>
    <mergeCell ref="X9:AA9"/>
    <mergeCell ref="EH9:EJ9"/>
    <mergeCell ref="AX9:AZ9"/>
    <mergeCell ref="A8:C9"/>
    <mergeCell ref="BB9:BP9"/>
    <mergeCell ref="DF9:DH9"/>
    <mergeCell ref="T9:W9"/>
    <mergeCell ref="BR9:BT9"/>
    <mergeCell ref="BV9:CJ9"/>
    <mergeCell ref="CL9:CN9"/>
    <mergeCell ref="CP9:DD9"/>
    <mergeCell ref="AB9:AE9"/>
    <mergeCell ref="AK9:AQ9"/>
    <mergeCell ref="AG8:AG10"/>
    <mergeCell ref="BB8:BN8"/>
    <mergeCell ref="ED9:EF9"/>
    <mergeCell ref="D9:G9"/>
    <mergeCell ref="A19:B19"/>
    <mergeCell ref="AG18:AH18"/>
    <mergeCell ref="P18:AF18"/>
    <mergeCell ref="J18:O18"/>
    <mergeCell ref="A18:I18"/>
    <mergeCell ref="AG1:AH3"/>
    <mergeCell ref="A5:AH5"/>
    <mergeCell ref="AG6:AH7"/>
    <mergeCell ref="AB6:AF6"/>
    <mergeCell ref="AB7:AF7"/>
    <mergeCell ref="A1:A3"/>
    <mergeCell ref="B1:W2"/>
  </mergeCells>
  <conditionalFormatting sqref="D11:W16 AK11:AQ17 D17:AH17">
    <cfRule type="containsBlanks" dxfId="30" priority="32">
      <formula>LEN(TRIM(D11))=0</formula>
    </cfRule>
  </conditionalFormatting>
  <conditionalFormatting sqref="F12">
    <cfRule type="expression" dxfId="29" priority="51">
      <formula>$CX12=""</formula>
    </cfRule>
  </conditionalFormatting>
  <conditionalFormatting sqref="J12">
    <cfRule type="expression" dxfId="28" priority="8">
      <formula>$CX12=""</formula>
    </cfRule>
    <cfRule type="expression" dxfId="27" priority="50">
      <formula>$CY12=""</formula>
    </cfRule>
  </conditionalFormatting>
  <conditionalFormatting sqref="N12">
    <cfRule type="expression" dxfId="26" priority="49">
      <formula>$CZ12=""</formula>
    </cfRule>
  </conditionalFormatting>
  <conditionalFormatting sqref="R12">
    <cfRule type="expression" dxfId="25" priority="48">
      <formula>$DA12=""</formula>
    </cfRule>
  </conditionalFormatting>
  <conditionalFormatting sqref="V12">
    <cfRule type="expression" dxfId="24" priority="47">
      <formula>$DB12=""</formula>
    </cfRule>
  </conditionalFormatting>
  <conditionalFormatting sqref="X11:AH16">
    <cfRule type="containsBlanks" dxfId="23" priority="5">
      <formula>LEN(TRIM(X11))=0</formula>
    </cfRule>
  </conditionalFormatting>
  <conditionalFormatting sqref="Z12">
    <cfRule type="expression" dxfId="22" priority="6">
      <formula>$DD12=""</formula>
    </cfRule>
  </conditionalFormatting>
  <conditionalFormatting sqref="AD12">
    <cfRule type="expression" dxfId="21" priority="43">
      <formula>$DD12=""</formula>
    </cfRule>
  </conditionalFormatting>
  <conditionalFormatting sqref="AK11:AQ17 AM18 AO18:AP18">
    <cfRule type="cellIs" dxfId="20" priority="165" operator="notBetween">
      <formula>$AU11</formula>
      <formula>$AV11</formula>
    </cfRule>
  </conditionalFormatting>
  <conditionalFormatting sqref="AP27">
    <cfRule type="containsBlanks" dxfId="19" priority="1">
      <formula>LEN(TRIM(AP27))=0</formula>
    </cfRule>
  </conditionalFormatting>
  <conditionalFormatting sqref="BB11:BH17">
    <cfRule type="cellIs" dxfId="18" priority="465" operator="equal">
      <formula>$BI11</formula>
    </cfRule>
    <cfRule type="containsBlanks" dxfId="17" priority="466">
      <formula>LEN(TRIM(BB11))=0</formula>
    </cfRule>
  </conditionalFormatting>
  <conditionalFormatting sqref="BG25:BG30 DQ25:DQ30">
    <cfRule type="cellIs" dxfId="16" priority="2" operator="greaterThan">
      <formula>0.3</formula>
    </cfRule>
  </conditionalFormatting>
  <conditionalFormatting sqref="BJ11:BP17 BV11:CJ18 CX12:CY12 DA12:DB12 DC12:DD16 CX13:DB16 CX17:DD17">
    <cfRule type="containsBlanks" dxfId="15" priority="464">
      <formula>LEN(TRIM(BJ11))=0</formula>
    </cfRule>
  </conditionalFormatting>
  <conditionalFormatting sqref="BT1:BT24 AZ11:AZ17 CN11:CN17 BT31:BT1048576 EJ31:EJ1048576">
    <cfRule type="cellIs" dxfId="14" priority="135" operator="greaterThan">
      <formula>0.3</formula>
    </cfRule>
  </conditionalFormatting>
  <conditionalFormatting sqref="BV11:CB18">
    <cfRule type="cellIs" dxfId="13" priority="467" operator="equal">
      <formula>$CC11</formula>
    </cfRule>
  </conditionalFormatting>
  <conditionalFormatting sqref="CN9:CN10">
    <cfRule type="cellIs" dxfId="12" priority="131" operator="greaterThan">
      <formula>0.3</formula>
    </cfRule>
  </conditionalFormatting>
  <conditionalFormatting sqref="CO25:CO30">
    <cfRule type="cellIs" dxfId="11" priority="3" operator="greaterThan">
      <formula>0.3</formula>
    </cfRule>
  </conditionalFormatting>
  <conditionalFormatting sqref="CP17:CT17 CV17">
    <cfRule type="containsBlanks" dxfId="10" priority="468">
      <formula>LEN(TRIM(CP17))=0</formula>
    </cfRule>
    <cfRule type="cellIs" dxfId="9" priority="469" operator="equal">
      <formula>$CW17</formula>
    </cfRule>
  </conditionalFormatting>
  <conditionalFormatting sqref="CU11:CU18">
    <cfRule type="containsBlanks" dxfId="8" priority="470">
      <formula>LEN(TRIM(CU11))=0</formula>
    </cfRule>
  </conditionalFormatting>
  <conditionalFormatting sqref="DH8">
    <cfRule type="cellIs" dxfId="7" priority="159" operator="greaterThan">
      <formula>0.3</formula>
    </cfRule>
  </conditionalFormatting>
  <conditionalFormatting sqref="DH9:DH10">
    <cfRule type="cellIs" dxfId="6" priority="130" operator="greaterThan">
      <formula>0.3</formula>
    </cfRule>
  </conditionalFormatting>
  <conditionalFormatting sqref="DH11:DH24 DH31:DH1048576">
    <cfRule type="cellIs" dxfId="5" priority="157" operator="greaterThan">
      <formula>0.3</formula>
    </cfRule>
  </conditionalFormatting>
  <conditionalFormatting sqref="EF9">
    <cfRule type="cellIs" dxfId="4" priority="115" operator="greaterThan">
      <formula>0.3</formula>
    </cfRule>
  </conditionalFormatting>
  <conditionalFormatting sqref="EF10">
    <cfRule type="cellIs" dxfId="3" priority="116" operator="greaterThan">
      <formula>0.3</formula>
    </cfRule>
    <cfRule type="cellIs" dxfId="2" priority="117" operator="greaterThan">
      <formula>0.3</formula>
    </cfRule>
  </conditionalFormatting>
  <conditionalFormatting sqref="EJ8:EJ24">
    <cfRule type="cellIs" dxfId="1" priority="120" operator="greaterThan">
      <formula>0.3</formula>
    </cfRule>
  </conditionalFormatting>
  <conditionalFormatting sqref="EJ9:EJ10">
    <cfRule type="cellIs" dxfId="0" priority="129" operator="greaterThan">
      <formula>0.3</formula>
    </cfRule>
  </conditionalFormatting>
  <printOptions horizontalCentered="1"/>
  <pageMargins left="0.19685039370078741" right="0.19685039370078741" top="0.39370078740157483" bottom="0.35433070866141736" header="0" footer="0"/>
  <pageSetup scale="10" fitToHeight="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PROPUESTA ECONÓMICA</vt:lpstr>
      <vt:lpstr>EM - LECHONA </vt:lpstr>
      <vt:lpstr>'EM - LECHONA '!Área_de_impresión</vt:lpstr>
      <vt:lpstr>'PROPUESTA ECONÓMICA'!Área_de_impresión</vt:lpstr>
    </vt:vector>
  </TitlesOfParts>
  <Company>Terminal de Transporte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Terminal de Transporte S.A.</dc:creator>
  <cp:lastModifiedBy>Diego Fresneda</cp:lastModifiedBy>
  <cp:lastPrinted>2025-06-17T15:45:48Z</cp:lastPrinted>
  <dcterms:created xsi:type="dcterms:W3CDTF">2005-09-12T20:11:04Z</dcterms:created>
  <dcterms:modified xsi:type="dcterms:W3CDTF">2026-06-10T19:26:18Z</dcterms:modified>
</cp:coreProperties>
</file>