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192.168.1.10\corporativa\PROYECTOS PARA ESTUDIO\2026\DIA DEL CONDUCTOR - LOGISTICA - INVITACIÓN PRIVADA No.011\DIA DEL CONDUCTOR - LOGISTICA V4\"/>
    </mc:Choice>
  </mc:AlternateContent>
  <xr:revisionPtr revIDLastSave="0" documentId="13_ncr:1_{B1F3BB91-7399-4C4F-A911-9FFDCA44A141}" xr6:coauthVersionLast="36" xr6:coauthVersionMax="36" xr10:uidLastSave="{00000000-0000-0000-0000-000000000000}"/>
  <bookViews>
    <workbookView xWindow="0" yWindow="0" windowWidth="28800" windowHeight="11325" xr2:uid="{00000000-000D-0000-FFFF-FFFF00000000}"/>
  </bookViews>
  <sheets>
    <sheet name="PROPUESTA ECONÓMICA" sheetId="7" r:id="rId1"/>
    <sheet name="Hoja2" sheetId="8" state="hidden" r:id="rId2"/>
    <sheet name="ESCENARIO 2" sheetId="3" state="hidden" r:id="rId3"/>
  </sheets>
  <definedNames>
    <definedName name="_xlnm._FilterDatabase" localSheetId="2" hidden="1">'ESCENARIO 2'!$A$10:$CI$27</definedName>
    <definedName name="_xlnm.Print_Area" localSheetId="2">'ESCENARIO 2'!$A$1:$AF$58</definedName>
    <definedName name="_xlnm.Print_Area" localSheetId="0">'PROPUESTA ECONÓMICA'!$A$1:$K$26</definedName>
  </definedNames>
  <calcPr calcId="191029"/>
</workbook>
</file>

<file path=xl/calcChain.xml><?xml version="1.0" encoding="utf-8"?>
<calcChain xmlns="http://schemas.openxmlformats.org/spreadsheetml/2006/main">
  <c r="J7" i="7" l="1"/>
  <c r="F7" i="7" l="1"/>
  <c r="G7" i="7" s="1"/>
  <c r="H7" i="7" s="1"/>
  <c r="F8" i="7" l="1"/>
  <c r="G8" i="7" s="1"/>
  <c r="H8" i="7" s="1"/>
  <c r="F9" i="7"/>
  <c r="G9" i="7" s="1"/>
  <c r="H9" i="7" s="1"/>
  <c r="F10" i="7"/>
  <c r="G10" i="7" s="1"/>
  <c r="H10" i="7" s="1"/>
  <c r="F11" i="7"/>
  <c r="G11" i="7" s="1"/>
  <c r="H11" i="7" s="1"/>
  <c r="F12" i="7"/>
  <c r="G12" i="7" s="1"/>
  <c r="H12" i="7" s="1"/>
  <c r="F13" i="7"/>
  <c r="G13" i="7" s="1"/>
  <c r="H13" i="7" s="1"/>
  <c r="F14" i="7"/>
  <c r="G14" i="7" s="1"/>
  <c r="H14" i="7" s="1"/>
  <c r="F15" i="7"/>
  <c r="G15" i="7" s="1"/>
  <c r="H15" i="7" s="1"/>
  <c r="J8" i="7" l="1"/>
  <c r="J15" i="7"/>
  <c r="J14" i="7"/>
  <c r="J13" i="7"/>
  <c r="J12" i="7"/>
  <c r="J11" i="7"/>
  <c r="J10" i="7"/>
  <c r="J9" i="7"/>
  <c r="H10" i="8"/>
  <c r="H12" i="8" s="1"/>
  <c r="G10" i="8"/>
  <c r="G12" i="8" s="1"/>
  <c r="M41" i="3"/>
  <c r="K41" i="3"/>
  <c r="I41" i="3"/>
  <c r="G41" i="3"/>
  <c r="L43" i="3"/>
  <c r="G32" i="3" l="1"/>
  <c r="H32" i="3" s="1"/>
  <c r="G33" i="3"/>
  <c r="H33" i="3" s="1"/>
  <c r="G34" i="3"/>
  <c r="H34" i="3" s="1"/>
  <c r="G35" i="3"/>
  <c r="H35" i="3" s="1"/>
  <c r="G36" i="3"/>
  <c r="H36" i="3" s="1"/>
  <c r="G37" i="3"/>
  <c r="H37" i="3" s="1"/>
  <c r="G31" i="3"/>
  <c r="H31" i="3" s="1"/>
  <c r="AH37" i="3" l="1"/>
  <c r="AH34" i="3"/>
  <c r="AH36" i="3"/>
  <c r="AH33" i="3"/>
  <c r="AH31" i="3"/>
  <c r="AH35" i="3"/>
  <c r="AH32" i="3"/>
  <c r="M37" i="3"/>
  <c r="N37" i="3" s="1"/>
  <c r="AJ37" i="3" s="1"/>
  <c r="J32" i="3"/>
  <c r="K32" i="3" s="1"/>
  <c r="AI32" i="3" s="1"/>
  <c r="J33" i="3"/>
  <c r="K33" i="3" s="1"/>
  <c r="AI33" i="3" s="1"/>
  <c r="J34" i="3"/>
  <c r="K34" i="3" s="1"/>
  <c r="AI34" i="3" s="1"/>
  <c r="J35" i="3"/>
  <c r="K35" i="3" s="1"/>
  <c r="AI35" i="3" s="1"/>
  <c r="J36" i="3"/>
  <c r="K36" i="3" s="1"/>
  <c r="AI36" i="3" s="1"/>
  <c r="J37" i="3"/>
  <c r="K37" i="3" s="1"/>
  <c r="AI37" i="3" s="1"/>
  <c r="BC37" i="3" s="1"/>
  <c r="J31" i="3"/>
  <c r="K31" i="3" s="1"/>
  <c r="AI31" i="3" s="1"/>
  <c r="M32" i="3"/>
  <c r="N32" i="3" s="1"/>
  <c r="AJ32" i="3" s="1"/>
  <c r="M33" i="3"/>
  <c r="N33" i="3" s="1"/>
  <c r="AJ33" i="3" s="1"/>
  <c r="M34" i="3"/>
  <c r="N34" i="3" s="1"/>
  <c r="AJ34" i="3" s="1"/>
  <c r="M35" i="3"/>
  <c r="N35" i="3" s="1"/>
  <c r="AJ35" i="3" s="1"/>
  <c r="M36" i="3"/>
  <c r="N36" i="3" s="1"/>
  <c r="AJ36" i="3" s="1"/>
  <c r="M31" i="3"/>
  <c r="N31" i="3" s="1"/>
  <c r="AJ31" i="3" s="1"/>
  <c r="W22" i="3"/>
  <c r="X22" i="3" s="1"/>
  <c r="W23" i="3"/>
  <c r="X23" i="3" s="1"/>
  <c r="W24" i="3"/>
  <c r="X24" i="3" s="1"/>
  <c r="W25" i="3"/>
  <c r="X25" i="3" s="1"/>
  <c r="R22" i="3"/>
  <c r="S22" i="3" s="1"/>
  <c r="R23" i="3"/>
  <c r="S23" i="3" s="1"/>
  <c r="R24" i="3"/>
  <c r="S24" i="3" s="1"/>
  <c r="R25" i="3"/>
  <c r="S25" i="3" s="1"/>
  <c r="R26" i="3"/>
  <c r="S26" i="3" s="1"/>
  <c r="M23" i="3"/>
  <c r="N23" i="3" s="1"/>
  <c r="M24" i="3"/>
  <c r="N24" i="3" s="1"/>
  <c r="M25" i="3"/>
  <c r="N25" i="3" s="1"/>
  <c r="M26" i="3"/>
  <c r="N26" i="3" s="1"/>
  <c r="M22" i="3"/>
  <c r="N22" i="3" s="1"/>
  <c r="H12" i="3"/>
  <c r="I12" i="3" s="1"/>
  <c r="H14" i="3"/>
  <c r="I14" i="3" s="1"/>
  <c r="H17" i="3"/>
  <c r="I17" i="3" s="1"/>
  <c r="H20" i="3"/>
  <c r="I20" i="3" s="1"/>
  <c r="AH20" i="3" s="1"/>
  <c r="H23" i="3"/>
  <c r="I23" i="3" s="1"/>
  <c r="H13" i="3"/>
  <c r="I13" i="3" s="1"/>
  <c r="H15" i="3"/>
  <c r="I15" i="3" s="1"/>
  <c r="H16" i="3"/>
  <c r="H18" i="3"/>
  <c r="I18" i="3" s="1"/>
  <c r="H19" i="3"/>
  <c r="I19" i="3" s="1"/>
  <c r="H21" i="3"/>
  <c r="I21" i="3" s="1"/>
  <c r="H22" i="3"/>
  <c r="I22" i="3" s="1"/>
  <c r="H24" i="3"/>
  <c r="I24" i="3" s="1"/>
  <c r="H25" i="3"/>
  <c r="I25" i="3" s="1"/>
  <c r="H26" i="3"/>
  <c r="I26" i="3" s="1"/>
  <c r="H11" i="3"/>
  <c r="I11" i="3" s="1"/>
  <c r="BC32" i="3" l="1"/>
  <c r="AH26" i="3"/>
  <c r="AH22" i="3"/>
  <c r="AD22" i="3"/>
  <c r="AH18" i="3"/>
  <c r="AH13" i="3"/>
  <c r="AH17" i="3"/>
  <c r="AH25" i="3"/>
  <c r="AD25" i="3"/>
  <c r="AH21" i="3"/>
  <c r="AH23" i="3"/>
  <c r="AD23" i="3"/>
  <c r="AH14" i="3"/>
  <c r="AH24" i="3"/>
  <c r="AD24" i="3"/>
  <c r="AH19" i="3"/>
  <c r="AH15" i="3"/>
  <c r="AH12" i="3"/>
  <c r="I16" i="3"/>
  <c r="I27" i="3" s="1"/>
  <c r="Q35" i="3"/>
  <c r="S37" i="3"/>
  <c r="Q32" i="3"/>
  <c r="Q31" i="3"/>
  <c r="Q33" i="3"/>
  <c r="Q36" i="3"/>
  <c r="S34" i="3"/>
  <c r="S32" i="3"/>
  <c r="S35" i="3"/>
  <c r="S31" i="3"/>
  <c r="S33" i="3"/>
  <c r="S36" i="3"/>
  <c r="Q34" i="3"/>
  <c r="Q37" i="3"/>
  <c r="BK32" i="3"/>
  <c r="BN32" i="3" s="1"/>
  <c r="BO32" i="3" s="1"/>
  <c r="AV32" i="3"/>
  <c r="AU32" i="3"/>
  <c r="AU35" i="3"/>
  <c r="AV35" i="3"/>
  <c r="AV31" i="3"/>
  <c r="AU31" i="3"/>
  <c r="BK31" i="3"/>
  <c r="BL31" i="3" s="1"/>
  <c r="AU33" i="3"/>
  <c r="BK33" i="3"/>
  <c r="BL33" i="3" s="1"/>
  <c r="AV33" i="3"/>
  <c r="AU36" i="3"/>
  <c r="AV36" i="3"/>
  <c r="AV34" i="3"/>
  <c r="AU34" i="3"/>
  <c r="AV37" i="3"/>
  <c r="AU37" i="3"/>
  <c r="BC31" i="3"/>
  <c r="BK36" i="3"/>
  <c r="BK37" i="3"/>
  <c r="BB36" i="3"/>
  <c r="BK34" i="3"/>
  <c r="BK35" i="3"/>
  <c r="BB31" i="3"/>
  <c r="BC33" i="3"/>
  <c r="BB34" i="3"/>
  <c r="Y23" i="3"/>
  <c r="Z23" i="3" s="1"/>
  <c r="AK23" i="3"/>
  <c r="BC35" i="3"/>
  <c r="BC36" i="3"/>
  <c r="Y25" i="3"/>
  <c r="Z25" i="3" s="1"/>
  <c r="AK25" i="3"/>
  <c r="Y22" i="3"/>
  <c r="Z22" i="3" s="1"/>
  <c r="AK22" i="3"/>
  <c r="BB35" i="3"/>
  <c r="BC34" i="3"/>
  <c r="BB37" i="3"/>
  <c r="BD37" i="3" s="1"/>
  <c r="Y24" i="3"/>
  <c r="Z24" i="3" s="1"/>
  <c r="AK24" i="3"/>
  <c r="BB32" i="3"/>
  <c r="BB33" i="3"/>
  <c r="O22" i="3"/>
  <c r="P22" i="3" s="1"/>
  <c r="AI22" i="3"/>
  <c r="O24" i="3"/>
  <c r="P24" i="3" s="1"/>
  <c r="AI24" i="3"/>
  <c r="T25" i="3"/>
  <c r="U25" i="3" s="1"/>
  <c r="AJ25" i="3"/>
  <c r="T22" i="3"/>
  <c r="U22" i="3" s="1"/>
  <c r="AJ22" i="3"/>
  <c r="O26" i="3"/>
  <c r="P26" i="3" s="1"/>
  <c r="AI26" i="3"/>
  <c r="O23" i="3"/>
  <c r="P23" i="3" s="1"/>
  <c r="AI23" i="3"/>
  <c r="T24" i="3"/>
  <c r="U24" i="3" s="1"/>
  <c r="AJ24" i="3"/>
  <c r="O25" i="3"/>
  <c r="P25" i="3" s="1"/>
  <c r="AI25" i="3"/>
  <c r="T26" i="3"/>
  <c r="U26" i="3" s="1"/>
  <c r="AJ26" i="3"/>
  <c r="T23" i="3"/>
  <c r="U23" i="3" s="1"/>
  <c r="AJ23" i="3"/>
  <c r="J25" i="3"/>
  <c r="AC25" i="3"/>
  <c r="J21" i="3"/>
  <c r="J23" i="3"/>
  <c r="AC23" i="3"/>
  <c r="J14" i="3"/>
  <c r="J11" i="3"/>
  <c r="AH11" i="3"/>
  <c r="J24" i="3"/>
  <c r="AC24" i="3"/>
  <c r="J19" i="3"/>
  <c r="J15" i="3"/>
  <c r="J20" i="3"/>
  <c r="J12" i="3"/>
  <c r="J26" i="3"/>
  <c r="J22" i="3"/>
  <c r="AC22" i="3"/>
  <c r="J18" i="3"/>
  <c r="J13" i="3"/>
  <c r="J17" i="3"/>
  <c r="BD32" i="3" l="1"/>
  <c r="AE24" i="3"/>
  <c r="J16" i="3"/>
  <c r="AE25" i="3"/>
  <c r="AE22" i="3"/>
  <c r="AE23" i="3"/>
  <c r="AH16" i="3"/>
  <c r="AH27" i="3" s="1"/>
  <c r="AW31" i="3"/>
  <c r="AY31" i="3" s="1"/>
  <c r="BN31" i="3"/>
  <c r="BO31" i="3" s="1"/>
  <c r="BL32" i="3"/>
  <c r="BM32" i="3" s="1"/>
  <c r="AW37" i="3"/>
  <c r="AY37" i="3" s="1"/>
  <c r="BD36" i="3"/>
  <c r="BD31" i="3"/>
  <c r="BN34" i="3"/>
  <c r="BO34" i="3" s="1"/>
  <c r="BL34" i="3"/>
  <c r="BM34" i="3" s="1"/>
  <c r="BN37" i="3"/>
  <c r="BO37" i="3" s="1"/>
  <c r="BL37" i="3"/>
  <c r="BM37" i="3" s="1"/>
  <c r="K20" i="3"/>
  <c r="BN36" i="3"/>
  <c r="BO36" i="3" s="1"/>
  <c r="BL36" i="3"/>
  <c r="BM36" i="3" s="1"/>
  <c r="AW36" i="3"/>
  <c r="AY36" i="3" s="1"/>
  <c r="BN35" i="3"/>
  <c r="BO35" i="3" s="1"/>
  <c r="BL35" i="3"/>
  <c r="BM35" i="3" s="1"/>
  <c r="BM33" i="3"/>
  <c r="BN33" i="3"/>
  <c r="BO33" i="3" s="1"/>
  <c r="BC23" i="3"/>
  <c r="BK24" i="3"/>
  <c r="BN24" i="3" s="1"/>
  <c r="BO24" i="3" s="1"/>
  <c r="BK23" i="3"/>
  <c r="BL23" i="3" s="1"/>
  <c r="BM23" i="3" s="1"/>
  <c r="BC22" i="3"/>
  <c r="BD33" i="3"/>
  <c r="AW34" i="3"/>
  <c r="AY34" i="3" s="1"/>
  <c r="BK22" i="3"/>
  <c r="BN22" i="3" s="1"/>
  <c r="BO22" i="3" s="1"/>
  <c r="BC25" i="3"/>
  <c r="BB22" i="3"/>
  <c r="BB24" i="3"/>
  <c r="BK25" i="3"/>
  <c r="BN25" i="3" s="1"/>
  <c r="BO25" i="3" s="1"/>
  <c r="BM31" i="3"/>
  <c r="AU23" i="3"/>
  <c r="BB23" i="3"/>
  <c r="AV24" i="3"/>
  <c r="BD34" i="3"/>
  <c r="AV23" i="3"/>
  <c r="AW32" i="3"/>
  <c r="AY32" i="3" s="1"/>
  <c r="BC24" i="3"/>
  <c r="AV25" i="3"/>
  <c r="BB25" i="3"/>
  <c r="J27" i="3"/>
  <c r="J43" i="3" s="1"/>
  <c r="AU25" i="3"/>
  <c r="AU22" i="3"/>
  <c r="AU24" i="3"/>
  <c r="BD35" i="3"/>
  <c r="AV22" i="3"/>
  <c r="AW33" i="3"/>
  <c r="AY33" i="3" s="1"/>
  <c r="AW35" i="3"/>
  <c r="AY35" i="3" s="1"/>
  <c r="K24" i="3"/>
  <c r="AF24" i="3" s="1"/>
  <c r="K15" i="3"/>
  <c r="K19" i="3"/>
  <c r="K17" i="3"/>
  <c r="K13" i="3"/>
  <c r="K18" i="3"/>
  <c r="K22" i="3"/>
  <c r="AF22" i="3" s="1"/>
  <c r="K26" i="3"/>
  <c r="K12" i="3"/>
  <c r="K11" i="3"/>
  <c r="K14" i="3"/>
  <c r="K23" i="3"/>
  <c r="AF23" i="3" s="1"/>
  <c r="K16" i="3"/>
  <c r="K21" i="3"/>
  <c r="K25" i="3"/>
  <c r="AF25" i="3" s="1"/>
  <c r="BD24" i="3" l="1"/>
  <c r="AX37" i="3"/>
  <c r="AX31" i="3"/>
  <c r="AW22" i="3"/>
  <c r="AY22" i="3" s="1"/>
  <c r="AX33" i="3"/>
  <c r="AX34" i="3"/>
  <c r="AX35" i="3"/>
  <c r="AX32" i="3"/>
  <c r="AX36" i="3"/>
  <c r="BL24" i="3"/>
  <c r="BM24" i="3" s="1"/>
  <c r="BR24" i="3"/>
  <c r="BD22" i="3"/>
  <c r="BR23" i="3"/>
  <c r="BN23" i="3"/>
  <c r="BO23" i="3" s="1"/>
  <c r="BD23" i="3"/>
  <c r="AW23" i="3"/>
  <c r="AY23" i="3" s="1"/>
  <c r="BL25" i="3"/>
  <c r="BM25" i="3" s="1"/>
  <c r="BR25" i="3"/>
  <c r="BI24" i="3"/>
  <c r="BE24" i="3"/>
  <c r="BF24" i="3" s="1"/>
  <c r="BI22" i="3"/>
  <c r="BE22" i="3"/>
  <c r="BF22" i="3" s="1"/>
  <c r="BI25" i="3"/>
  <c r="BE25" i="3"/>
  <c r="BF25" i="3" s="1"/>
  <c r="BL22" i="3"/>
  <c r="BM22" i="3" s="1"/>
  <c r="BR22" i="3"/>
  <c r="AW25" i="3"/>
  <c r="AY25" i="3" s="1"/>
  <c r="BI23" i="3"/>
  <c r="BE23" i="3"/>
  <c r="BF23" i="3" s="1"/>
  <c r="K27" i="3"/>
  <c r="G43" i="3" s="1"/>
  <c r="G45" i="3" s="1"/>
  <c r="BD25" i="3"/>
  <c r="AW24" i="3"/>
  <c r="AX24" i="3" s="1"/>
  <c r="AY24" i="3" l="1"/>
  <c r="AX23" i="3"/>
  <c r="AX22" i="3"/>
  <c r="AX25" i="3"/>
  <c r="W26" i="3"/>
  <c r="X26" i="3" s="1"/>
  <c r="W21" i="3"/>
  <c r="X21" i="3" s="1"/>
  <c r="AK21" i="3" s="1"/>
  <c r="R21" i="3"/>
  <c r="S21" i="3" s="1"/>
  <c r="AJ21" i="3" s="1"/>
  <c r="M21" i="3"/>
  <c r="N21" i="3" s="1"/>
  <c r="W20" i="3"/>
  <c r="X20" i="3" s="1"/>
  <c r="AK20" i="3" s="1"/>
  <c r="R20" i="3"/>
  <c r="S20" i="3" s="1"/>
  <c r="AJ20" i="3" s="1"/>
  <c r="M20" i="3"/>
  <c r="N20" i="3" s="1"/>
  <c r="W19" i="3"/>
  <c r="X19" i="3" s="1"/>
  <c r="M19" i="3"/>
  <c r="N19" i="3" s="1"/>
  <c r="W18" i="3"/>
  <c r="X18" i="3" s="1"/>
  <c r="AK18" i="3" s="1"/>
  <c r="M18" i="3"/>
  <c r="N18" i="3" s="1"/>
  <c r="W17" i="3"/>
  <c r="X17" i="3" s="1"/>
  <c r="AK17" i="3" s="1"/>
  <c r="R17" i="3"/>
  <c r="M17" i="3"/>
  <c r="N17" i="3" s="1"/>
  <c r="W16" i="3"/>
  <c r="X16" i="3" s="1"/>
  <c r="R16" i="3"/>
  <c r="M16" i="3"/>
  <c r="N16" i="3" s="1"/>
  <c r="W15" i="3"/>
  <c r="X15" i="3" s="1"/>
  <c r="R15" i="3"/>
  <c r="S15" i="3" s="1"/>
  <c r="M15" i="3"/>
  <c r="N15" i="3" s="1"/>
  <c r="W14" i="3"/>
  <c r="X14" i="3" s="1"/>
  <c r="R14" i="3"/>
  <c r="S14" i="3" s="1"/>
  <c r="M14" i="3"/>
  <c r="N14" i="3" s="1"/>
  <c r="W13" i="3"/>
  <c r="X13" i="3" s="1"/>
  <c r="R13" i="3"/>
  <c r="S13" i="3" s="1"/>
  <c r="M13" i="3"/>
  <c r="N13" i="3" s="1"/>
  <c r="W12" i="3"/>
  <c r="X12" i="3" s="1"/>
  <c r="R12" i="3"/>
  <c r="S12" i="3" s="1"/>
  <c r="M12" i="3"/>
  <c r="N12" i="3" s="1"/>
  <c r="W11" i="3"/>
  <c r="X11" i="3" s="1"/>
  <c r="AK11" i="3" s="1"/>
  <c r="R11" i="3"/>
  <c r="S11" i="3" s="1"/>
  <c r="AJ11" i="3" s="1"/>
  <c r="M11" i="3"/>
  <c r="N11" i="3" s="1"/>
  <c r="AD11" i="3" s="1"/>
  <c r="AI12" i="3" l="1"/>
  <c r="AD12" i="3"/>
  <c r="AI14" i="3"/>
  <c r="AD14" i="3"/>
  <c r="AI15" i="3"/>
  <c r="AD15" i="3"/>
  <c r="AI20" i="3"/>
  <c r="BK20" i="3" s="1"/>
  <c r="BN20" i="3" s="1"/>
  <c r="BO20" i="3" s="1"/>
  <c r="AD20" i="3"/>
  <c r="AI21" i="3"/>
  <c r="AU21" i="3" s="1"/>
  <c r="AD21" i="3"/>
  <c r="AK26" i="3"/>
  <c r="BK26" i="3" s="1"/>
  <c r="BN26" i="3" s="1"/>
  <c r="BO26" i="3" s="1"/>
  <c r="AD26" i="3"/>
  <c r="AI13" i="3"/>
  <c r="AD13" i="3"/>
  <c r="AI18" i="3"/>
  <c r="AI19" i="3"/>
  <c r="S16" i="3"/>
  <c r="AC16" i="3" s="1"/>
  <c r="S17" i="3"/>
  <c r="AJ17" i="3" s="1"/>
  <c r="AI16" i="3"/>
  <c r="AI17" i="3"/>
  <c r="BK21" i="3"/>
  <c r="BN21" i="3" s="1"/>
  <c r="BO21" i="3" s="1"/>
  <c r="BB21" i="3"/>
  <c r="AV21" i="3"/>
  <c r="BC21" i="3"/>
  <c r="AV26" i="3"/>
  <c r="Y12" i="3"/>
  <c r="Z12" i="3" s="1"/>
  <c r="AK12" i="3"/>
  <c r="Y13" i="3"/>
  <c r="Z13" i="3" s="1"/>
  <c r="AK13" i="3"/>
  <c r="Y14" i="3"/>
  <c r="Z14" i="3" s="1"/>
  <c r="AK14" i="3"/>
  <c r="Y15" i="3"/>
  <c r="Z15" i="3" s="1"/>
  <c r="AK15" i="3"/>
  <c r="Y16" i="3"/>
  <c r="Z16" i="3" s="1"/>
  <c r="AK16" i="3"/>
  <c r="Y19" i="3"/>
  <c r="Z19" i="3" s="1"/>
  <c r="AK19" i="3"/>
  <c r="T12" i="3"/>
  <c r="U12" i="3" s="1"/>
  <c r="AJ12" i="3"/>
  <c r="T13" i="3"/>
  <c r="U13" i="3" s="1"/>
  <c r="AJ13" i="3"/>
  <c r="T14" i="3"/>
  <c r="U14" i="3" s="1"/>
  <c r="AJ14" i="3"/>
  <c r="T15" i="3"/>
  <c r="U15" i="3" s="1"/>
  <c r="AJ15" i="3"/>
  <c r="AI11" i="3"/>
  <c r="AC11" i="3"/>
  <c r="AC12" i="3"/>
  <c r="AC13" i="3"/>
  <c r="AC14" i="3"/>
  <c r="AC15" i="3"/>
  <c r="AC26" i="3"/>
  <c r="AC20" i="3"/>
  <c r="AC21" i="3"/>
  <c r="X27" i="3"/>
  <c r="R19" i="3"/>
  <c r="S19" i="3" s="1"/>
  <c r="AD19" i="3" s="1"/>
  <c r="O20" i="3"/>
  <c r="O12" i="3"/>
  <c r="Y21" i="3"/>
  <c r="Z21" i="3" s="1"/>
  <c r="R18" i="3"/>
  <c r="S18" i="3" s="1"/>
  <c r="AD18" i="3" s="1"/>
  <c r="O17" i="3"/>
  <c r="Y11" i="3"/>
  <c r="Y17" i="3"/>
  <c r="Z17" i="3" s="1"/>
  <c r="Y18" i="3"/>
  <c r="Z18" i="3" s="1"/>
  <c r="T21" i="3"/>
  <c r="U21" i="3" s="1"/>
  <c r="Y20" i="3"/>
  <c r="Z20" i="3" s="1"/>
  <c r="Y26" i="3"/>
  <c r="AE26" i="3" s="1"/>
  <c r="O19" i="3"/>
  <c r="O13" i="3"/>
  <c r="AE13" i="3" s="1"/>
  <c r="O15" i="3"/>
  <c r="O11" i="3"/>
  <c r="N27" i="3"/>
  <c r="N43" i="3" s="1"/>
  <c r="T20" i="3"/>
  <c r="U20" i="3" s="1"/>
  <c r="T11" i="3"/>
  <c r="O14" i="3"/>
  <c r="AE14" i="3" s="1"/>
  <c r="O16" i="3"/>
  <c r="O18" i="3"/>
  <c r="O21" i="3"/>
  <c r="AE21" i="3" l="1"/>
  <c r="AV20" i="3"/>
  <c r="BD21" i="3"/>
  <c r="AE11" i="3"/>
  <c r="BC20" i="3"/>
  <c r="AU20" i="3"/>
  <c r="AE15" i="3"/>
  <c r="AE12" i="3"/>
  <c r="BB20" i="3"/>
  <c r="BE20" i="3" s="1"/>
  <c r="BF20" i="3" s="1"/>
  <c r="BB26" i="3"/>
  <c r="BI26" i="3" s="1"/>
  <c r="AD16" i="3"/>
  <c r="AE20" i="3"/>
  <c r="AU26" i="3"/>
  <c r="BC26" i="3"/>
  <c r="AD17" i="3"/>
  <c r="AJ16" i="3"/>
  <c r="BC16" i="3" s="1"/>
  <c r="BR26" i="3"/>
  <c r="BL26" i="3"/>
  <c r="BM26" i="3" s="1"/>
  <c r="T16" i="3"/>
  <c r="U16" i="3" s="1"/>
  <c r="BK11" i="3"/>
  <c r="BN11" i="3" s="1"/>
  <c r="BO11" i="3" s="1"/>
  <c r="BB17" i="3"/>
  <c r="BE17" i="3" s="1"/>
  <c r="BF17" i="3" s="1"/>
  <c r="BK17" i="3"/>
  <c r="BN17" i="3" s="1"/>
  <c r="BO17" i="3" s="1"/>
  <c r="AU17" i="3"/>
  <c r="T17" i="3"/>
  <c r="U17" i="3" s="1"/>
  <c r="BR21" i="3"/>
  <c r="AV17" i="3"/>
  <c r="BC17" i="3"/>
  <c r="BD17" i="3" s="1"/>
  <c r="BL21" i="3"/>
  <c r="BM21" i="3" s="1"/>
  <c r="AC17" i="3"/>
  <c r="BB15" i="3"/>
  <c r="BE15" i="3" s="1"/>
  <c r="BF15" i="3" s="1"/>
  <c r="BK12" i="3"/>
  <c r="BN12" i="3" s="1"/>
  <c r="BO12" i="3" s="1"/>
  <c r="AV13" i="3"/>
  <c r="BL20" i="3"/>
  <c r="BM20" i="3" s="1"/>
  <c r="BK15" i="3"/>
  <c r="BN15" i="3" s="1"/>
  <c r="BO15" i="3" s="1"/>
  <c r="BK14" i="3"/>
  <c r="BL14" i="3" s="1"/>
  <c r="BM14" i="3" s="1"/>
  <c r="BK13" i="3"/>
  <c r="BN13" i="3" s="1"/>
  <c r="BO13" i="3" s="1"/>
  <c r="AV14" i="3"/>
  <c r="BC13" i="3"/>
  <c r="BI21" i="3"/>
  <c r="BE21" i="3"/>
  <c r="BF21" i="3" s="1"/>
  <c r="BB13" i="3"/>
  <c r="BB14" i="3"/>
  <c r="AU14" i="3"/>
  <c r="AK27" i="3"/>
  <c r="BD20" i="3"/>
  <c r="AI27" i="3"/>
  <c r="BB11" i="3"/>
  <c r="BC11" i="3"/>
  <c r="AV11" i="3"/>
  <c r="AU11" i="3"/>
  <c r="AU15" i="3"/>
  <c r="AV12" i="3"/>
  <c r="AW26" i="3"/>
  <c r="AX26" i="3" s="1"/>
  <c r="AV15" i="3"/>
  <c r="BC15" i="3"/>
  <c r="BD15" i="3" s="1"/>
  <c r="AU13" i="3"/>
  <c r="BB12" i="3"/>
  <c r="BC12" i="3"/>
  <c r="BC14" i="3"/>
  <c r="AU12" i="3"/>
  <c r="AW20" i="3"/>
  <c r="AY20" i="3" s="1"/>
  <c r="T18" i="3"/>
  <c r="U18" i="3" s="1"/>
  <c r="AJ18" i="3"/>
  <c r="AW21" i="3"/>
  <c r="AY21" i="3" s="1"/>
  <c r="AC19" i="3"/>
  <c r="AJ19" i="3"/>
  <c r="AC18" i="3"/>
  <c r="Z26" i="3"/>
  <c r="AF26" i="3" s="1"/>
  <c r="U11" i="3"/>
  <c r="S27" i="3"/>
  <c r="Z11" i="3"/>
  <c r="Y27" i="3"/>
  <c r="P11" i="3"/>
  <c r="P19" i="3"/>
  <c r="P18" i="3"/>
  <c r="AF18" i="3" s="1"/>
  <c r="P17" i="3"/>
  <c r="AF17" i="3" s="1"/>
  <c r="P20" i="3"/>
  <c r="AF20" i="3" s="1"/>
  <c r="P15" i="3"/>
  <c r="AF15" i="3" s="1"/>
  <c r="P21" i="3"/>
  <c r="AF21" i="3" s="1"/>
  <c r="P12" i="3"/>
  <c r="AF12" i="3" s="1"/>
  <c r="P16" i="3"/>
  <c r="P14" i="3"/>
  <c r="AF14" i="3" s="1"/>
  <c r="P13" i="3"/>
  <c r="AF13" i="3" s="1"/>
  <c r="T19" i="3"/>
  <c r="AE19" i="3" s="1"/>
  <c r="O27" i="3"/>
  <c r="BL11" i="3" l="1"/>
  <c r="BM11" i="3" s="1"/>
  <c r="AD27" i="3"/>
  <c r="AF11" i="3"/>
  <c r="AE18" i="3"/>
  <c r="AF16" i="3"/>
  <c r="BE26" i="3"/>
  <c r="BF26" i="3" s="1"/>
  <c r="AE17" i="3"/>
  <c r="BD26" i="3"/>
  <c r="BB16" i="3"/>
  <c r="BI16" i="3" s="1"/>
  <c r="AE16" i="3"/>
  <c r="AV16" i="3"/>
  <c r="AU16" i="3"/>
  <c r="BI15" i="3"/>
  <c r="BR17" i="3"/>
  <c r="BI17" i="3"/>
  <c r="BK16" i="3"/>
  <c r="BN16" i="3" s="1"/>
  <c r="BO16" i="3" s="1"/>
  <c r="AW17" i="3"/>
  <c r="AY17" i="3" s="1"/>
  <c r="BK19" i="3"/>
  <c r="BN19" i="3" s="1"/>
  <c r="BO19" i="3" s="1"/>
  <c r="BK18" i="3"/>
  <c r="BN18" i="3" s="1"/>
  <c r="BO18" i="3" s="1"/>
  <c r="BL17" i="3"/>
  <c r="BM17" i="3" s="1"/>
  <c r="BR11" i="3"/>
  <c r="BL12" i="3"/>
  <c r="BM12" i="3" s="1"/>
  <c r="AX20" i="3"/>
  <c r="AX21" i="3"/>
  <c r="AY26" i="3"/>
  <c r="BR12" i="3"/>
  <c r="AW12" i="3"/>
  <c r="AX12" i="3" s="1"/>
  <c r="BD11" i="3"/>
  <c r="BD13" i="3"/>
  <c r="BR15" i="3"/>
  <c r="BL15" i="3"/>
  <c r="BM15" i="3" s="1"/>
  <c r="BE16" i="3"/>
  <c r="BF16" i="3" s="1"/>
  <c r="AW14" i="3"/>
  <c r="AX14" i="3" s="1"/>
  <c r="BR14" i="3"/>
  <c r="BN14" i="3"/>
  <c r="BO14" i="3" s="1"/>
  <c r="BO27" i="3" s="1"/>
  <c r="AW13" i="3"/>
  <c r="AX13" i="3" s="1"/>
  <c r="BD14" i="3"/>
  <c r="BL13" i="3"/>
  <c r="BM13" i="3" s="1"/>
  <c r="BR13" i="3"/>
  <c r="BI12" i="3"/>
  <c r="BE12" i="3"/>
  <c r="BF12" i="3" s="1"/>
  <c r="BI14" i="3"/>
  <c r="BE14" i="3"/>
  <c r="BF14" i="3" s="1"/>
  <c r="BI13" i="3"/>
  <c r="BE13" i="3"/>
  <c r="BF13" i="3" s="1"/>
  <c r="BI11" i="3"/>
  <c r="BE11" i="3"/>
  <c r="BF11" i="3" s="1"/>
  <c r="AW15" i="3"/>
  <c r="AX15" i="3" s="1"/>
  <c r="BD12" i="3"/>
  <c r="BC19" i="3"/>
  <c r="AU19" i="3"/>
  <c r="AV19" i="3"/>
  <c r="BB19" i="3"/>
  <c r="Z27" i="3"/>
  <c r="AV18" i="3"/>
  <c r="BC18" i="3"/>
  <c r="BB18" i="3"/>
  <c r="AU18" i="3"/>
  <c r="AJ27" i="3"/>
  <c r="AW11" i="3"/>
  <c r="AY11" i="3" s="1"/>
  <c r="T27" i="3"/>
  <c r="AC27" i="3"/>
  <c r="P27" i="3"/>
  <c r="I43" i="3" s="1"/>
  <c r="I45" i="3" s="1"/>
  <c r="U19" i="3"/>
  <c r="U27" i="3" s="1"/>
  <c r="K43" i="3" s="1"/>
  <c r="K45" i="3" s="1"/>
  <c r="BD16" i="3" l="1"/>
  <c r="AF19" i="3"/>
  <c r="AF27" i="3" s="1"/>
  <c r="H20" i="8" s="1"/>
  <c r="H22" i="8" s="1"/>
  <c r="H24" i="8" s="1"/>
  <c r="AW16" i="3"/>
  <c r="AX16" i="3" s="1"/>
  <c r="BL16" i="3"/>
  <c r="BM16" i="3" s="1"/>
  <c r="BR16" i="3"/>
  <c r="BR19" i="3"/>
  <c r="BL19" i="3"/>
  <c r="BM19" i="3" s="1"/>
  <c r="AE27" i="3"/>
  <c r="AX17" i="3"/>
  <c r="BR18" i="3"/>
  <c r="BL18" i="3"/>
  <c r="BM18" i="3" s="1"/>
  <c r="BK27" i="3"/>
  <c r="AY13" i="3"/>
  <c r="AY12" i="3"/>
  <c r="M43" i="3"/>
  <c r="M45" i="3" s="1"/>
  <c r="AY14" i="3"/>
  <c r="AY15" i="3"/>
  <c r="AX11" i="3"/>
  <c r="BB27" i="3"/>
  <c r="BI19" i="3"/>
  <c r="BE19" i="3"/>
  <c r="BF19" i="3" s="1"/>
  <c r="BI18" i="3"/>
  <c r="BE18" i="3"/>
  <c r="BF18" i="3" s="1"/>
  <c r="AV27" i="3"/>
  <c r="BD18" i="3"/>
  <c r="AU27" i="3"/>
  <c r="BD19" i="3"/>
  <c r="AW18" i="3"/>
  <c r="AX18" i="3" s="1"/>
  <c r="AW19" i="3"/>
  <c r="AX19" i="3" s="1"/>
  <c r="BF27" i="3" l="1"/>
  <c r="G20" i="8" s="1"/>
  <c r="G22" i="8" s="1"/>
  <c r="G24" i="8" s="1"/>
  <c r="AY16" i="3"/>
  <c r="Q43" i="3"/>
  <c r="Q45" i="3" s="1"/>
  <c r="O43" i="3"/>
  <c r="O45" i="3" s="1"/>
  <c r="AY19" i="3"/>
  <c r="AY18" i="3"/>
  <c r="AW27" i="3"/>
  <c r="AX27" i="3" s="1"/>
  <c r="O47" i="3" l="1"/>
  <c r="AA6" i="3" s="1"/>
  <c r="AG7" i="3" s="1"/>
  <c r="AY2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Nora Garcia</author>
  </authors>
  <commentList>
    <comment ref="A55" authorId="0" shapeId="0" xr:uid="{00000000-0006-0000-0000-000001000000}">
      <text>
        <r>
          <rPr>
            <b/>
            <sz val="9"/>
            <color indexed="81"/>
            <rFont val="Tahoma"/>
            <family val="2"/>
          </rPr>
          <t>Nora Garcia:</t>
        </r>
        <r>
          <rPr>
            <sz val="9"/>
            <color indexed="81"/>
            <rFont val="Tahoma"/>
            <family val="2"/>
          </rPr>
          <t xml:space="preserve">
Nombre y cargo de quien revisa y aprueba, debe ser el lider del proyecto y debe ir con el correspondiente Vo Bo</t>
        </r>
      </text>
    </comment>
  </commentList>
</comments>
</file>

<file path=xl/sharedStrings.xml><?xml version="1.0" encoding="utf-8"?>
<sst xmlns="http://schemas.openxmlformats.org/spreadsheetml/2006/main" count="451" uniqueCount="162">
  <si>
    <t>COTIZACIONES ENTREGADAS</t>
  </si>
  <si>
    <t>FORMATO</t>
  </si>
  <si>
    <t>PRESUPUESTO OFICIAL PARA LA CONTRATACIÓN DE ESTE OBJETO:</t>
  </si>
  <si>
    <t xml:space="preserve">Revisó y aprobó:  </t>
  </si>
  <si>
    <t>PRESUPUESTO ASIGNADO EN PLAN ANUAL DE ADQUISICIONES PARA LA VIGENCIA:</t>
  </si>
  <si>
    <t xml:space="preserve">VALOR UNITARIO </t>
  </si>
  <si>
    <t>BIENES YIO SERVICIOS</t>
  </si>
  <si>
    <t>ÍTEM</t>
  </si>
  <si>
    <t>VALOR DEL PRESUPUESTO OFICIAL SEGÚN ESTUDIO</t>
  </si>
  <si>
    <t>VERSIÓN N° 05</t>
  </si>
  <si>
    <t>FECHA: FEBRERO DE 2017</t>
  </si>
  <si>
    <t>CÓDIGO: GJC-FT09</t>
  </si>
  <si>
    <t>TERMINAL SALITRE</t>
  </si>
  <si>
    <t>IVA</t>
  </si>
  <si>
    <t>UBICACIÓN</t>
  </si>
  <si>
    <t xml:space="preserve">Líder de Proyecto </t>
  </si>
  <si>
    <t>VALOR UNITARIO INCLUIDO IVA</t>
  </si>
  <si>
    <t xml:space="preserve">VALOR TOTAL MANTENIMIENTO DE TORNIQUETES </t>
  </si>
  <si>
    <t>Proyectó: Yalile Maldonado Castro -Contratista - Subgerencia Corporativa</t>
  </si>
  <si>
    <r>
      <t xml:space="preserve">NOMBRE DEL PROYECTO:  </t>
    </r>
    <r>
      <rPr>
        <sz val="12"/>
        <rFont val="Arial Narrow"/>
        <family val="2"/>
      </rPr>
      <t>Mantenimiento preventivo y correctivo a los sistemas de torniquetes de la Terminal.</t>
    </r>
  </si>
  <si>
    <t>CARACTERÍSTICA</t>
  </si>
  <si>
    <t>IMAGEN</t>
  </si>
  <si>
    <t>DESCRIPCIÓN SERVICIOS DE RUTINA DE MANTENIMIENTO PREVENTIVO</t>
  </si>
  <si>
    <t>TERMINAL DEL SUR</t>
  </si>
  <si>
    <t>SALA DE ESPERA</t>
  </si>
  <si>
    <t xml:space="preserve">REGISTRADORA </t>
  </si>
  <si>
    <t>Mantenimiento preventivo - incluido la Rutina (Ver anexo de Especificaciones)</t>
  </si>
  <si>
    <t>TAQUILLAS</t>
  </si>
  <si>
    <t>TORNIQUETE</t>
  </si>
  <si>
    <t>SÓTANO</t>
  </si>
  <si>
    <t>CONDUCTORES</t>
  </si>
  <si>
    <t>TERMINAL DEL NORTE</t>
  </si>
  <si>
    <t>BAÑOS TAQUILLAS</t>
  </si>
  <si>
    <t>BAÑOS CONDUCTORES</t>
  </si>
  <si>
    <t>OFICINAS ADMINISTRATIVAS</t>
  </si>
  <si>
    <t xml:space="preserve">ACCESO A PLATAFORMA PASAJEROS </t>
  </si>
  <si>
    <t>MODULO AMARILLO</t>
  </si>
  <si>
    <t>MODULO ROJO</t>
  </si>
  <si>
    <t>LECTORES DE CÓDIGOS DE BARRAS</t>
  </si>
  <si>
    <t>Mantenimiento preventivo al Software y Hardware de validación</t>
  </si>
  <si>
    <t>MIFARE TARJETAS</t>
  </si>
  <si>
    <t>APLIANCE</t>
  </si>
  <si>
    <t>CONTROLADORES</t>
  </si>
  <si>
    <t>CANTIDAD SOLICITADA</t>
  </si>
  <si>
    <t>COT. 1</t>
  </si>
  <si>
    <t>COT. 2</t>
  </si>
  <si>
    <t xml:space="preserve">COTIZACIÓN 2         </t>
  </si>
  <si>
    <t xml:space="preserve">COTIZACIÓN 1:                               </t>
  </si>
  <si>
    <t xml:space="preserve">COTIZACIÓN 3 </t>
  </si>
  <si>
    <t>Dirección de Recursos Tecnológicos</t>
  </si>
  <si>
    <t xml:space="preserve">JULIO CESAR MOSQUERA SANTOS </t>
  </si>
  <si>
    <t>COTIZACIÓN 1</t>
  </si>
  <si>
    <t>COTIZACIÓN 2</t>
  </si>
  <si>
    <t>COTIZACIÓN 3</t>
  </si>
  <si>
    <t xml:space="preserve">VALOR TOTAL POR CANTIDAD DE EQUIPOS </t>
  </si>
  <si>
    <t xml:space="preserve">VALOR TOTAL CON TRES MANTENIMIENTOS </t>
  </si>
  <si>
    <t>N/A</t>
  </si>
  <si>
    <t>CANTIDAD DE MANTENIMIENTOS PREVENTIVOS SOLICITADOS</t>
  </si>
  <si>
    <r>
      <rPr>
        <b/>
        <sz val="12"/>
        <rFont val="Arial Narrow"/>
        <family val="2"/>
      </rPr>
      <t>Observaciones:</t>
    </r>
    <r>
      <rPr>
        <sz val="12"/>
        <rFont val="Arial Narrow"/>
        <family val="2"/>
      </rPr>
      <t xml:space="preserve"> Para el presente análisis, la Subgerencia Corporativa procedió a realizar el presente estudio de precios de mercado publicando la solicitud de información a los proveedores con referencia REF: No. COT-39-2023 en la plataforma del SECOP II, la cual da publicidad al proceso de cotización a empresas que cumplen con el objeto a consultar y por medio del correo electrónico cotizaciones@terminaldetransporte.gov.co, se recibieron tres (3) cotizaciones de las siguientes empresas: DOMÓTICA SOLUCIONES SAS, FICHET COLOMBIA, PROXEL COLOMBIA SAS
La Dirección de Recursos Tecnológicos revisó las cotizaciones incluidas en el presente estudio de mercado y consideró que los ítems presentados cumplen con las características solicitadas en las especificaciones técnicas (ver su firma en el presente estudio).  
Se procedió a realizar el análisis de valores unitarios y valores totales de acuerdo a la sumatoria de cada cotización, donde se aplicó la metodología de media aritmética como orientación y referencia para obtener el valor total promedio de las cotizaciones, Teniendo en cuenta que la media aritmética es un tipo de herramienta que otorga la misma ponderación a todos los valores presentados y que es una medida de tendencia central.    
Teniendo en cuenta que los datos están dispersos,  el promedio no sería la herramienta más recomendable, considerando que un dato más alejado (Mayor valor) o más cercano (Menor Valor) distorsiona el resultado, el cual no refleja los valores reales del mercado, por lo anterior y por solicitud del Líder del Proyecto en corro electrónico recibido el día 12 de Enero, se resuelve tomar la media geométrica la cual es una herramienta de promedio que privilegia los valores bajos y es menos sensible a los valores extremos, para obtener valores unitarios de referencia más cercano a los del mercado.  Teniendo en cuenta lo anterior, se recomienda como valor de referencia para el presente proceso, el valor unitario de la media geométrica por ítem de las cotizaciones presentadas, el cual dio como resultado el valor total de $60.000.000 IVA incluido, que es el resultado de la suma de una Bolsa de monto agotable para repuestos por el valor de $11.977.345 , más los mantenimientos preventivos por el valor de $48,022,655.
</t>
    </r>
  </si>
  <si>
    <r>
      <t xml:space="preserve">Concepto: </t>
    </r>
    <r>
      <rPr>
        <sz val="12"/>
        <rFont val="Arial Narrow"/>
        <family val="2"/>
      </rPr>
      <t>Se recomienda para la futura contratación el valor unitario incluido IVA por ítem de las cotizaciones presentadas en el presente estudio de precios de mercado, es decir los relacionados en la columna "VALOR UNITARIO MEDIA GEOMÉTRICA SUGERIDO (como valor techo a ofertar)incluido y  los demás costos y gastos a que hubiere lugar para el normal desarrollo del futuro contrato, los cuales se irán descontando según necesidad del servicio de una bolsa monto agotable y de acuerdo a los mantenimientos preventivos.  A partir de la cual se deberá surtir el proceso de contratación conforme al Manual de Contratación.</t>
    </r>
  </si>
  <si>
    <t>De acuerdo con el presupuesto asignado para la actual vigencia, para cumplir con el objetivo propuesto que se describirá a continuación:  " Mantenimiento preventivo y correctivo a los sistemas de torniquetes de la Terminal." es la suma de $ 60.000.000, de los cuales $11.977.345 corresponde a una bolsa de monto agotable de Repuesto, que se irá descontando según necesidad del servicio. Se anexan las respectivas cotizaciones.</t>
  </si>
  <si>
    <t>SABANERO</t>
  </si>
  <si>
    <t xml:space="preserve">REGISTRADORA Y PUERTA DE ACCESO PARA DISCAPACITADOS </t>
  </si>
  <si>
    <t>LISTADO DE REPUESTOS  (BOLSA DE MONTO AGOTABLE)</t>
  </si>
  <si>
    <t>DESCRIPCIÓN DEL BIEN Y/O SERVICIO</t>
  </si>
  <si>
    <t>VALOR UNITARIO</t>
  </si>
  <si>
    <t>KT1 </t>
  </si>
  <si>
    <t>TH790</t>
  </si>
  <si>
    <t>RESORTE</t>
  </si>
  <si>
    <t>AMORTIGUADOR</t>
  </si>
  <si>
    <t>LL2001</t>
  </si>
  <si>
    <t>UPPERCAM</t>
  </si>
  <si>
    <t>PICTOGRAMA </t>
  </si>
  <si>
    <t>EDUARDO GONZÁLEZ MORA</t>
  </si>
  <si>
    <t>Subgerente Corporativo</t>
  </si>
  <si>
    <t>PRECIOS HISTORICOS</t>
  </si>
  <si>
    <t xml:space="preserve">CONTRATO TT -85-2024
AJUSTADO IPC 2024 5,20% </t>
  </si>
  <si>
    <t>HISTÓRICO</t>
  </si>
  <si>
    <t>RIC</t>
  </si>
  <si>
    <t>LÍMITE INFERIOR</t>
  </si>
  <si>
    <t>LÍMITE SUPERIOR</t>
  </si>
  <si>
    <t>HISTORICO</t>
  </si>
  <si>
    <t>COT- 1</t>
  </si>
  <si>
    <t>COT- 2</t>
  </si>
  <si>
    <t>COT- 3</t>
  </si>
  <si>
    <t xml:space="preserve">OK </t>
  </si>
  <si>
    <t>OK</t>
  </si>
  <si>
    <t>ANÁLISIS DE DATOS ATÍPICOS</t>
  </si>
  <si>
    <t>Q1</t>
  </si>
  <si>
    <t>Q3</t>
  </si>
  <si>
    <t>ANÁLISIS PROMEDIO CON HISTORICO</t>
  </si>
  <si>
    <t>VARIACIÓN PRECIO HISTORICO - PROMEDIO</t>
  </si>
  <si>
    <t>PROMEDIO</t>
  </si>
  <si>
    <t>DESVIACIÓN ESTANDAR</t>
  </si>
  <si>
    <t>COEFICIENTE DE DISTORSIÓN</t>
  </si>
  <si>
    <t>COT. 3</t>
  </si>
  <si>
    <t>+</t>
  </si>
  <si>
    <t>ANÁLISIS MEDIA GEOMÉTRICA</t>
  </si>
  <si>
    <t>MEDIA GEOMÉTRICA</t>
  </si>
  <si>
    <t xml:space="preserve">2 ítems </t>
  </si>
  <si>
    <t>1  ÍTEM</t>
  </si>
  <si>
    <t>COT 1</t>
  </si>
  <si>
    <t>COT 2</t>
  </si>
  <si>
    <t>COT 3</t>
  </si>
  <si>
    <t>VALOR TOTAL SUGERIDO CON 3 MANTENIMIENTOS  (VALOR PROMEDIO) COMO TECHO A OFERTAR</t>
  </si>
  <si>
    <t>FECHA: 06 DE FEBRERO DE 2025</t>
  </si>
  <si>
    <t>Según necesidad</t>
  </si>
  <si>
    <t>3 ÍTEM</t>
  </si>
  <si>
    <t xml:space="preserve">RESUMEN </t>
  </si>
  <si>
    <t>VALOR TOTAL INCLUIDO IMPUESTOS</t>
  </si>
  <si>
    <t>BOLSA DE MONTO AGOTABLE PARA REPUESTOS IVA INCLUIDO</t>
  </si>
  <si>
    <t xml:space="preserve">VALOR TOTAL </t>
  </si>
  <si>
    <t xml:space="preserve">TIEMPO DE EJECUCIÓN EN MESES </t>
  </si>
  <si>
    <t xml:space="preserve">TOTAL DE MANTENIMIENTOS PREVENTIVOS- INCLUIDO IMPUESTOS A QUE HAYA A LUGAR </t>
  </si>
  <si>
    <t>GESTIÓN JURÍDICA Y CONTRACTUAL</t>
  </si>
  <si>
    <t>ESTUDIO DE MERCADO</t>
  </si>
  <si>
    <t xml:space="preserve">  VALOR UNITARIO MEDIA GEOMÉTRICA (INCLUIDO IMPUESTOS A QUE HAYA LUGAR </t>
  </si>
  <si>
    <t xml:space="preserve">  VALOR UNITARIO PROMEDIO (INCLUIDO IMPUESTOS A QUE HAYA LUGAR </t>
  </si>
  <si>
    <t xml:space="preserve">  VALOR UNITARIO PROMEDIO (INCLUIDO IVA)</t>
  </si>
  <si>
    <t xml:space="preserve">  VALOR UNITARIO MEDIA GEOMETRICA (INCLUIDO IVA)</t>
  </si>
  <si>
    <t>VALOR TOTAL SUGERIDO POR CANTIDAD -  (MEDIA GEOMÉTRICA) COMO TECHO A OFERTAR</t>
  </si>
  <si>
    <t>VALOR TOTAL SUGERIDO CON 3 MANTENIMIENTOS  (MEDIA GEOMÉTRICA) COMO TECHO A OFERTAR</t>
  </si>
  <si>
    <t>Revisó: Manuel Antonio Santamaría Guzmán  / Profesional 3 ( Encargado)  / Subgerencia Corporativa</t>
  </si>
  <si>
    <t>Escenario 1</t>
  </si>
  <si>
    <t>Vr. Total Promedio</t>
  </si>
  <si>
    <t>Vr. Total Media Geométrica</t>
  </si>
  <si>
    <t>Valor Estudio de Mercado</t>
  </si>
  <si>
    <t>Vr. Bolsa de Monto Agotable</t>
  </si>
  <si>
    <t>Valor total - Estudio de Mercado</t>
  </si>
  <si>
    <t>Vr. Presupuesto PAA- 2025</t>
  </si>
  <si>
    <t>Diferencia contra presupuesto</t>
  </si>
  <si>
    <t>Apliance</t>
  </si>
  <si>
    <t>Presenta un incremento del 58% al valor del contrato TT-85-2024</t>
  </si>
  <si>
    <t>Escenario 2</t>
  </si>
  <si>
    <t>CANTIDAD</t>
  </si>
  <si>
    <t xml:space="preserve">UNIDAD </t>
  </si>
  <si>
    <t>UNIDAD</t>
  </si>
  <si>
    <t>SISTEMA DE SONIDO (TERMINAL SALITRE DESDE EL 14 DE JULIO DE 2026 HASTA EL 16 DE JULIO DE 2026)</t>
  </si>
  <si>
    <t>BINGO (TERMINAL SALITRE 16 DE JULIO DE 2026)</t>
  </si>
  <si>
    <t xml:space="preserve">DESCRIPCIÓN- ESPECIFICACIONES TÉCNICAS </t>
  </si>
  <si>
    <t xml:space="preserve">VALOR UNITARIO ANTES DE IVA </t>
  </si>
  <si>
    <t xml:space="preserve">VALOR IVA E IMPUESTO A QUE HAYA LUGAR </t>
  </si>
  <si>
    <t xml:space="preserve">VALOR UNITARIO INCLUIDO IVA E IMPUESTOS A QUE HAYA LUGAR </t>
  </si>
  <si>
    <t xml:space="preserve">VALOR TOTAL INCLUIDO IVA E IMPUESTOS A QUE HAYA LUGAR </t>
  </si>
  <si>
    <t>VALOR TOTAL SUGERIDO COMO TECHO A OFERTAR (PROMEDIO)</t>
  </si>
  <si>
    <t>ALQUILER DE SISTEMA DE SONIDO A TODO COSTO POR TRES (3) DÍAS, INCLUYE: UNA (1) CONSOLA DE SONIDO MULTICANAL PROFESIONAL DE 32 CANALES, CUATRO (4) CABINAS ACTIVAS; 12 MICRÓFONOS, BAJO DOBLE AMPLIFICADO, RETORNOS K12 SC, PARLANTES, SOPORTES, CABLEADO, ETC., CON SU RESPECTIVA ESTRUCTURA TRUSS TIPO CONCIERTO DE 9 METROS MÍNIMO (INCLUYE TRANSPORTE, MONTAJE, PRUEBAS DE SONIDO, OPERACIÓN, DESMONTAJE)</t>
  </si>
  <si>
    <t>ALQUILER DE CONSOLA PROFESIONAL DIGITAL PARA ILUMINACIÓN MÍNIMO CON 4 UNIVERSOS A TODO COSTO POR TRES (3) DÍAS, (INCLUYE TRANSPORTE, MONTAJE, DESMONTAJE, OPERACIÓN), EL SISTEMA DE LUCES DEBE SER ADECUADO AL RECINTO.</t>
  </si>
  <si>
    <t>ALQUILER PAR LED RGBW MÍNIMO DE 10 VATIOS A TODO COSTO POR TRES (3) DÍAS. (INCLUYE TRANSPORTE, MONTAJE, DESMONTAJE)</t>
  </si>
  <si>
    <t>ALQUILER CABEZAS MOVILES CON EFECTO BEAM MÍNIMO 100 VATIOS DE POTENCIA CON OPERACIÓN DESDE 18 CANALES. CON SUS LIBRERIAS ORIGINALES QUE SE PODRAN IDENTIFICAR EN LA CONSOLA PRINCIPAL DE ILUMINACIÓN. A TODO COSTO POR TRES (3) DÍAS. (INCLUYE TRANSPORTE, MONTAJE, DESMONTAJE)</t>
  </si>
  <si>
    <t>ALQUILER CABEZAS MOVILES CON EFECTO HIBRIDO (BEAM, SPOT Y WASH) MÍNIMO DE 200 VATIOS DE POTENCIA LED CON OPERACIÓN DESDE 18 CANALES. CON SUS LIBRERÍAS ORIGINALES QUE SE PODRAN IDENTIFICAR EN LA CONSILA PRINCIPAL DE ILUMINACIÓN. A TODO COSTO POR TRES (3) DÍAS. (INCLUYE TRANSPORTE, MONTAJE, DESMONTAJE)</t>
  </si>
  <si>
    <t>SISTEMA DE ILUMINACIÓN (TERMINAL SALITRE TRES (3) DÍAS, DESDE EL 14 DE JULIO DE 2026 HASTA EL 16 DE JULIO DE 2026)</t>
  </si>
  <si>
    <t>TARIMA: ALQUILER DE TARIMA A TODO COSTO POR TRES (3) DÍAS (INCLUYE TRANSPORTE, MONTAJE, DESMONTAJE), DE TABLERO DE 4X10 O EN MEDIDAS SIMILARES, 60CM DE ALTO, INCLUYE ESCALERA DE ACCESO</t>
  </si>
  <si>
    <t>CARPA: ALQUILER DE CARPA O TECHO ESTRUCTURAL POR TRES (3) DÍAS (INCLUYE TRANSPORTE, MONTAJE, DESMONTAJE, Y PERSONAL DE MONTAJE Y DESMONATAJE), DE 12 METROS DE ANCHO POR 18 METROS DE FONDO, ESTILO HANGAR, CIRCULAR O SEMICIRCULAR O TRIANGULAR O AFIN CON ESTRUCTURA Y ANCLAJES, EN LONA COLOR BLANCO SIN LOGOTIPOS CON MICROFIBRAS INTERNAS TOTALMENTE IMPERMEABLE PARA EL TECHO</t>
  </si>
  <si>
    <t>SISTEMA ESTRUCTURAL TARIMA (TERMINAL SALITRE TRES (3) DÍAS, DESDE EL 14 DE JULIO DE 2026 HASTA EL 16 DE JULIO DE 2026)</t>
  </si>
  <si>
    <t>ALQUILER BINGO: INCLUYE, PRESENTADOR EXPERTO EN BINGOS Y CUATROCIENTOS (400) CARTONES FÍSICOS (SE JUGARÁ EL 16 DE JULIO A PARTIR DE LAS 5:00 PM)</t>
  </si>
  <si>
    <t>FERIA DE EMPRENDIMIENTO (TERMINAL SALITRE 14 DE JULIO DE 2026)</t>
  </si>
  <si>
    <t>ALQUILER DE SILLAS CON ESPALDAR SIN BRAZOS, PLÁSTICAS COLOR BLANCO POR UN (1) DÍA, INCLUYE TRANSPORTE, MONTAJE Y DESMONTAJE, LAS SILLAS DEBERAN ESTAR EN ÓPTIMAS CONDICIONES, LIMPIAS, SIN TACHONES, MANCHAS O ENMENDADURAS (DEBE SER ENTREGADOS EL DÍA 14 DE JULIO EN LAS INSTALACIONES DE LA TERMINAL SALITRE, UBICADA EN LA DIAGONAL 23 NO. 69- 11.)</t>
  </si>
  <si>
    <t>ANEXO No.2 - PROPUESTA ECONÓMICA - LOGÍSTICA DÍA DEL CONDUCTOR 2026</t>
  </si>
  <si>
    <t>VALOR DEL PRESUPUESTO OFICIAL PAA 2026</t>
  </si>
  <si>
    <t>FIRMA___________________________________________________________________</t>
  </si>
  <si>
    <t>CUMPLE / NO CUMPLE</t>
  </si>
  <si>
    <t>NOMBRE: Contratación de la logística para la celebración de los actos culturales y de conmemoración del día del conductor a desarrollarse en la Terminal de Transporte S.A.
NOTA 1: Los proponentes deben llenar únicamente las casillas sombreadas en azul.
NOTA 2: El valor ofertado es a todo costo, por lo que debe leer la Invitación antes de diligenciar el presente Formato de Propuesta Económica y tener en cuenta los siguientes aspectos: 
 * Personal mínimo requerido para el desarrollo de proyecto y las demás de las obligaciones específicas. 
 * Cubrir los gastos de transporte y demás que demande la ejecución del objeto del contrato sin costo adicional para la Terminal de Transporte S.A.
NOTA 3: Al diligenciar el Formato de Propuesta Económica, los proponentes deberán ofertar precios unitarios y valores totales ajustados al peso, sin centavos para todos y cada uno de los ítems, los cuales hacen parte de la propuesta. El ajuste al peso se hará de la siguiente manera, ya sea por exceso o por defecto de los precios unitarios, así: cuando la fracción decimal del peso sea igual o superior a 5 se aproxima por exceso y cuando sea inferior a 5 se aproxima por defecto. Los precios unitarios y valores totales para cada ítem deben escribirse en forma legible y sin enmendaduras.
NOTA 4: La presente oferta se mantendrá por la vigencia de 60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</si>
</sst>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 #,##0_-;\-&quot;$&quot;\ * #,##0_-;_-&quot;$&quot;\ * &quot;-&quot;_-;_-@_-"/>
    <numFmt numFmtId="44" formatCode="_-&quot;$&quot;\ * #,##0.00_-;\-&quot;$&quot;\ * #,##0.00_-;_-&quot;$&quot;\ * &quot;-&quot;??_-;_-@_-"/>
    <numFmt numFmtId="43" formatCode="_-* #,##0.00_-;\-* #,##0.00_-;_-* &quot;-&quot;??_-;_-@_-"/>
    <numFmt numFmtId="164" formatCode="_(&quot;$&quot;\ * #,##0.00_);_(&quot;$&quot;\ * \(#,##0.00\);_(&quot;$&quot;\ * &quot;-&quot;??_);_(@_)"/>
    <numFmt numFmtId="165" formatCode="_(&quot;$&quot;\ * #,##0_);_(&quot;$&quot;\ * \(#,##0\);_(&quot;$&quot;\ * &quot;-&quot;??_);_(@_)"/>
    <numFmt numFmtId="166" formatCode="0.0"/>
    <numFmt numFmtId="167" formatCode="_-[$$-240A]\ * #,##0_-;\-[$$-240A]\ * #,##0_-;_-[$$-240A]\ * &quot;-&quot;??_-;_-@_-"/>
    <numFmt numFmtId="168" formatCode="_-* #,##0_-;\-* #,##0_-;_-* &quot;-&quot;??_-;_-@_-"/>
    <numFmt numFmtId="169" formatCode="&quot;$&quot;\ #,##0"/>
    <numFmt numFmtId="170" formatCode="_-&quot;$&quot;\ * #,##0.00_-;\-&quot;$&quot;\ * #,##0.00_-;_-&quot;$&quot;\ * &quot;-&quot;_-;_-@_-"/>
  </numFmts>
  <fonts count="44" x14ac:knownFonts="1">
    <font>
      <sz val="10"/>
      <name val="Arial"/>
    </font>
    <font>
      <sz val="10"/>
      <name val="Arial"/>
      <family val="2"/>
    </font>
    <font>
      <sz val="10"/>
      <name val="Arial"/>
      <family val="2"/>
    </font>
    <font>
      <sz val="9"/>
      <color indexed="81"/>
      <name val="Tahoma"/>
      <family val="2"/>
    </font>
    <font>
      <b/>
      <sz val="9"/>
      <color indexed="81"/>
      <name val="Tahoma"/>
      <family val="2"/>
    </font>
    <font>
      <sz val="10"/>
      <name val="Calibri"/>
      <family val="2"/>
      <scheme val="minor"/>
    </font>
    <font>
      <b/>
      <sz val="12"/>
      <name val="Calibri"/>
      <family val="2"/>
      <scheme val="minor"/>
    </font>
    <font>
      <b/>
      <sz val="10"/>
      <name val="Calibri"/>
      <family val="2"/>
      <scheme val="minor"/>
    </font>
    <font>
      <sz val="7"/>
      <name val="Calibri"/>
      <family val="2"/>
      <scheme val="minor"/>
    </font>
    <font>
      <b/>
      <sz val="11"/>
      <name val="Calibri"/>
      <family val="2"/>
      <scheme val="minor"/>
    </font>
    <font>
      <sz val="10"/>
      <name val="Arial"/>
      <family val="2"/>
    </font>
    <font>
      <sz val="12"/>
      <color theme="1"/>
      <name val="Arial Narrow"/>
      <family val="2"/>
    </font>
    <font>
      <b/>
      <sz val="12"/>
      <color theme="1"/>
      <name val="Arial Narrow"/>
      <family val="2"/>
    </font>
    <font>
      <b/>
      <sz val="12"/>
      <name val="Arial Narrow"/>
      <family val="2"/>
    </font>
    <font>
      <sz val="12"/>
      <name val="Arial Narrow"/>
      <family val="2"/>
    </font>
    <font>
      <b/>
      <sz val="10"/>
      <name val="Arial Narrow"/>
      <family val="2"/>
    </font>
    <font>
      <b/>
      <sz val="11"/>
      <name val="Arial Narrow"/>
      <family val="2"/>
    </font>
    <font>
      <b/>
      <sz val="10"/>
      <name val="Arial"/>
      <family val="2"/>
    </font>
    <font>
      <sz val="9"/>
      <name val="Arial Narrow"/>
      <family val="2"/>
    </font>
    <font>
      <sz val="9"/>
      <name val="Arial"/>
      <family val="2"/>
    </font>
    <font>
      <sz val="12"/>
      <name val="Calibri"/>
      <family val="2"/>
      <scheme val="minor"/>
    </font>
    <font>
      <b/>
      <sz val="13"/>
      <color theme="1"/>
      <name val="Arial Narrow"/>
      <family val="2"/>
    </font>
    <font>
      <b/>
      <sz val="16"/>
      <name val="Arial Narrow"/>
      <family val="2"/>
    </font>
    <font>
      <sz val="12"/>
      <name val="Arial"/>
      <family val="2"/>
    </font>
    <font>
      <sz val="13"/>
      <color theme="1"/>
      <name val="Arial Narrow"/>
      <family val="2"/>
    </font>
    <font>
      <b/>
      <sz val="12"/>
      <name val="Arial"/>
      <family val="2"/>
    </font>
    <font>
      <sz val="11"/>
      <color theme="1"/>
      <name val="Calibri"/>
      <family val="2"/>
    </font>
    <font>
      <b/>
      <sz val="11"/>
      <color theme="1"/>
      <name val="Arial Narrow"/>
      <family val="2"/>
    </font>
    <font>
      <sz val="12"/>
      <color rgb="FF000000"/>
      <name val="Arial Narrow"/>
      <family val="2"/>
    </font>
    <font>
      <sz val="12"/>
      <color rgb="FF242424"/>
      <name val="Arial Narrow"/>
      <family val="2"/>
    </font>
    <font>
      <sz val="8"/>
      <name val="Arial"/>
      <family val="2"/>
    </font>
    <font>
      <sz val="11"/>
      <name val="Arial Narrow"/>
      <family val="2"/>
    </font>
    <font>
      <sz val="11"/>
      <color rgb="FF000000"/>
      <name val="Calibri"/>
      <family val="2"/>
    </font>
    <font>
      <sz val="10"/>
      <name val="Arial"/>
      <family val="2"/>
    </font>
    <font>
      <b/>
      <sz val="13"/>
      <name val="Arial Narrow"/>
      <family val="2"/>
    </font>
    <font>
      <b/>
      <sz val="10"/>
      <color rgb="FFFF0000"/>
      <name val="Arial"/>
      <family val="2"/>
    </font>
    <font>
      <b/>
      <sz val="11"/>
      <color theme="1"/>
      <name val="Century Gothic"/>
      <family val="2"/>
    </font>
    <font>
      <b/>
      <sz val="11"/>
      <name val="Century Gothic"/>
      <family val="2"/>
    </font>
    <font>
      <sz val="11"/>
      <color theme="1"/>
      <name val="Century Gothic"/>
      <family val="2"/>
    </font>
    <font>
      <sz val="11"/>
      <name val="Century Gothic"/>
      <family val="2"/>
    </font>
    <font>
      <sz val="10"/>
      <color rgb="FF000000"/>
      <name val="Times New Roman"/>
      <family val="1"/>
    </font>
    <font>
      <b/>
      <sz val="12"/>
      <color theme="1"/>
      <name val="Century Gothic"/>
      <family val="2"/>
    </font>
    <font>
      <sz val="10"/>
      <color theme="1"/>
      <name val="Century Gothic"/>
      <family val="2"/>
    </font>
    <font>
      <sz val="10"/>
      <color rgb="FF000000"/>
      <name val="Century Gothic"/>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9"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theme="0"/>
      </right>
      <top style="thin">
        <color indexed="64"/>
      </top>
      <bottom style="thin">
        <color indexed="64"/>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164" fontId="2" fillId="0" borderId="0" applyFont="0" applyFill="0" applyBorder="0" applyAlignment="0" applyProtection="0"/>
    <xf numFmtId="42" fontId="10" fillId="0" borderId="0" applyFont="0" applyFill="0" applyBorder="0" applyAlignment="0" applyProtection="0"/>
    <xf numFmtId="0" fontId="1" fillId="0" borderId="0"/>
    <xf numFmtId="42" fontId="1" fillId="0" borderId="0" applyFont="0" applyFill="0" applyBorder="0" applyAlignment="0" applyProtection="0"/>
    <xf numFmtId="164" fontId="1" fillId="0" borderId="0" applyFont="0" applyFill="0" applyBorder="0" applyAlignment="0" applyProtection="0"/>
    <xf numFmtId="9" fontId="33" fillId="0" borderId="0" applyFont="0" applyFill="0" applyBorder="0" applyAlignment="0" applyProtection="0"/>
    <xf numFmtId="0" fontId="40" fillId="0" borderId="0"/>
    <xf numFmtId="0" fontId="1" fillId="0" borderId="0"/>
  </cellStyleXfs>
  <cellXfs count="371">
    <xf numFmtId="0" fontId="0" fillId="0" borderId="0" xfId="0"/>
    <xf numFmtId="0" fontId="5" fillId="0" borderId="0" xfId="0" applyFont="1"/>
    <xf numFmtId="0" fontId="5" fillId="0" borderId="0" xfId="0" applyFont="1" applyAlignment="1">
      <alignment vertical="center"/>
    </xf>
    <xf numFmtId="0" fontId="8" fillId="0" borderId="0" xfId="0" applyFont="1"/>
    <xf numFmtId="0" fontId="9" fillId="0" borderId="0" xfId="0" applyFont="1"/>
    <xf numFmtId="0" fontId="9" fillId="0" borderId="0" xfId="0" applyFont="1" applyAlignment="1">
      <alignment horizontal="right"/>
    </xf>
    <xf numFmtId="0" fontId="7" fillId="0" borderId="0" xfId="0" applyFont="1" applyAlignment="1">
      <alignment horizontal="left" vertical="center"/>
    </xf>
    <xf numFmtId="0" fontId="5" fillId="0" borderId="0" xfId="0" applyFont="1" applyAlignment="1">
      <alignment horizontal="center"/>
    </xf>
    <xf numFmtId="42" fontId="11" fillId="0" borderId="1" xfId="3" applyFont="1" applyBorder="1" applyAlignment="1">
      <alignment vertical="center"/>
    </xf>
    <xf numFmtId="42" fontId="14" fillId="0" borderId="1" xfId="0" applyNumberFormat="1" applyFont="1" applyBorder="1" applyAlignment="1">
      <alignment vertical="center"/>
    </xf>
    <xf numFmtId="165" fontId="5" fillId="0" borderId="0" xfId="0" applyNumberFormat="1" applyFont="1" applyAlignment="1">
      <alignment vertical="center"/>
    </xf>
    <xf numFmtId="0" fontId="13" fillId="0" borderId="5" xfId="0" applyFont="1" applyBorder="1"/>
    <xf numFmtId="0" fontId="14" fillId="0" borderId="5" xfId="0" applyFont="1" applyBorder="1"/>
    <xf numFmtId="0" fontId="14" fillId="0" borderId="0" xfId="0" applyFont="1"/>
    <xf numFmtId="0" fontId="13" fillId="0" borderId="0" xfId="0" applyFont="1" applyAlignment="1">
      <alignment horizontal="left" vertical="center" wrapText="1"/>
    </xf>
    <xf numFmtId="42" fontId="14" fillId="0" borderId="0" xfId="0" applyNumberFormat="1" applyFont="1" applyAlignment="1">
      <alignment vertical="center"/>
    </xf>
    <xf numFmtId="3" fontId="19" fillId="0" borderId="0" xfId="0" applyNumberFormat="1" applyFont="1"/>
    <xf numFmtId="0" fontId="5" fillId="4" borderId="0" xfId="0" applyFont="1" applyFill="1" applyAlignment="1">
      <alignment vertical="center"/>
    </xf>
    <xf numFmtId="0" fontId="7" fillId="0" borderId="0" xfId="0" applyFont="1" applyAlignment="1">
      <alignment horizontal="center" vertical="center" wrapText="1"/>
    </xf>
    <xf numFmtId="0" fontId="20" fillId="0" borderId="0" xfId="0" applyFont="1"/>
    <xf numFmtId="0" fontId="11" fillId="0" borderId="7" xfId="0" applyFont="1" applyBorder="1" applyAlignment="1">
      <alignment vertical="center" wrapText="1"/>
    </xf>
    <xf numFmtId="168" fontId="21" fillId="2" borderId="1" xfId="1" applyNumberFormat="1" applyFont="1" applyFill="1" applyBorder="1" applyAlignment="1">
      <alignment vertical="center"/>
    </xf>
    <xf numFmtId="0" fontId="5" fillId="3" borderId="0" xfId="0" applyFont="1" applyFill="1" applyAlignment="1">
      <alignment vertical="center"/>
    </xf>
    <xf numFmtId="0" fontId="20" fillId="0" borderId="5" xfId="0" applyFont="1" applyBorder="1"/>
    <xf numFmtId="0" fontId="20" fillId="0" borderId="9" xfId="0" applyFont="1" applyBorder="1"/>
    <xf numFmtId="0" fontId="14" fillId="0" borderId="0" xfId="0" applyFont="1" applyAlignment="1">
      <alignment vertical="center"/>
    </xf>
    <xf numFmtId="0" fontId="14" fillId="0" borderId="0" xfId="0" applyFont="1" applyAlignment="1">
      <alignment horizontal="left" vertical="center" wrapText="1"/>
    </xf>
    <xf numFmtId="0" fontId="5" fillId="0" borderId="0" xfId="0" applyFont="1" applyAlignment="1">
      <alignment horizontal="left" wrapText="1"/>
    </xf>
    <xf numFmtId="0" fontId="18" fillId="0" borderId="0" xfId="0" applyFont="1" applyAlignment="1">
      <alignment horizontal="left" vertical="center"/>
    </xf>
    <xf numFmtId="0" fontId="15"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16" fillId="2" borderId="1" xfId="0" applyFont="1" applyFill="1" applyBorder="1" applyAlignment="1">
      <alignment horizontal="center" vertical="center" wrapText="1"/>
    </xf>
    <xf numFmtId="0" fontId="11" fillId="0" borderId="7" xfId="0" applyFont="1" applyBorder="1" applyAlignment="1">
      <alignment vertical="center"/>
    </xf>
    <xf numFmtId="0" fontId="11" fillId="0" borderId="13" xfId="0" applyFont="1" applyBorder="1" applyAlignment="1">
      <alignment vertical="center" wrapText="1"/>
    </xf>
    <xf numFmtId="0" fontId="11" fillId="0" borderId="1" xfId="0" applyFont="1" applyBorder="1" applyAlignment="1">
      <alignment vertical="center"/>
    </xf>
    <xf numFmtId="42" fontId="11" fillId="0" borderId="1" xfId="3" applyFont="1" applyBorder="1" applyAlignment="1">
      <alignment horizontal="center" vertical="center"/>
    </xf>
    <xf numFmtId="42" fontId="13" fillId="0" borderId="1" xfId="0" applyNumberFormat="1" applyFont="1" applyBorder="1" applyAlignment="1">
      <alignment vertical="center"/>
    </xf>
    <xf numFmtId="0" fontId="13" fillId="0" borderId="0" xfId="0" applyFont="1"/>
    <xf numFmtId="0" fontId="13" fillId="0" borderId="0" xfId="0" applyFont="1" applyAlignment="1">
      <alignment vertical="center"/>
    </xf>
    <xf numFmtId="165" fontId="5" fillId="0" borderId="0" xfId="0" applyNumberFormat="1" applyFont="1"/>
    <xf numFmtId="165" fontId="14" fillId="3" borderId="0" xfId="2" applyNumberFormat="1" applyFont="1" applyFill="1" applyAlignment="1">
      <alignment horizontal="left" wrapText="1"/>
    </xf>
    <xf numFmtId="165" fontId="14" fillId="0" borderId="0" xfId="2" applyNumberFormat="1" applyFont="1"/>
    <xf numFmtId="165" fontId="14" fillId="3" borderId="0" xfId="0" applyNumberFormat="1" applyFont="1" applyFill="1"/>
    <xf numFmtId="165" fontId="14" fillId="0" borderId="0" xfId="0" applyNumberFormat="1" applyFont="1"/>
    <xf numFmtId="42" fontId="23" fillId="0" borderId="1" xfId="0" applyNumberFormat="1" applyFont="1" applyBorder="1" applyAlignment="1">
      <alignment vertical="center"/>
    </xf>
    <xf numFmtId="0" fontId="23" fillId="0" borderId="0" xfId="0" applyFont="1" applyAlignment="1">
      <alignment vertical="center"/>
    </xf>
    <xf numFmtId="0" fontId="13" fillId="0" borderId="6" xfId="0" applyFont="1" applyBorder="1" applyAlignment="1">
      <alignment horizontal="center"/>
    </xf>
    <xf numFmtId="0" fontId="14" fillId="0" borderId="0" xfId="0" applyFont="1" applyAlignment="1">
      <alignment horizontal="center"/>
    </xf>
    <xf numFmtId="0" fontId="14" fillId="0" borderId="0" xfId="0" applyFont="1" applyAlignment="1">
      <alignment horizontal="center" wrapText="1"/>
    </xf>
    <xf numFmtId="168" fontId="24" fillId="2" borderId="1" xfId="1" applyNumberFormat="1" applyFont="1" applyFill="1" applyBorder="1" applyAlignment="1">
      <alignment vertical="center"/>
    </xf>
    <xf numFmtId="0" fontId="0" fillId="3" borderId="0" xfId="0" applyFill="1"/>
    <xf numFmtId="165" fontId="14" fillId="0" borderId="1" xfId="2" applyNumberFormat="1" applyFont="1" applyBorder="1" applyAlignment="1">
      <alignment vertical="center"/>
    </xf>
    <xf numFmtId="168" fontId="21" fillId="2" borderId="13" xfId="1" applyNumberFormat="1" applyFont="1" applyFill="1" applyBorder="1" applyAlignment="1">
      <alignment vertical="center"/>
    </xf>
    <xf numFmtId="0" fontId="21" fillId="2" borderId="4" xfId="0" applyFont="1" applyFill="1" applyBorder="1" applyAlignment="1">
      <alignment horizontal="left" vertical="center"/>
    </xf>
    <xf numFmtId="0" fontId="26" fillId="0" borderId="1" xfId="0" applyFont="1" applyBorder="1" applyAlignment="1">
      <alignment horizontal="left" vertical="center" wrapText="1"/>
    </xf>
    <xf numFmtId="0" fontId="26" fillId="0" borderId="7" xfId="0" applyFont="1" applyBorder="1" applyAlignment="1">
      <alignment horizontal="left" vertical="center" wrapText="1"/>
    </xf>
    <xf numFmtId="0" fontId="26" fillId="0" borderId="16" xfId="0" applyFont="1" applyBorder="1" applyAlignment="1">
      <alignment horizontal="left" vertical="center" wrapText="1"/>
    </xf>
    <xf numFmtId="0" fontId="26" fillId="0" borderId="17" xfId="0" applyFont="1" applyBorder="1" applyAlignment="1">
      <alignment horizontal="left" vertical="center" wrapText="1"/>
    </xf>
    <xf numFmtId="0" fontId="27" fillId="2" borderId="18" xfId="0" applyFont="1" applyFill="1" applyBorder="1" applyAlignment="1">
      <alignment horizontal="center" vertical="center"/>
    </xf>
    <xf numFmtId="0" fontId="27" fillId="2" borderId="2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42" fontId="21" fillId="2" borderId="4" xfId="0" applyNumberFormat="1" applyFont="1" applyFill="1" applyBorder="1" applyAlignment="1">
      <alignment horizontal="left" vertical="center"/>
    </xf>
    <xf numFmtId="0" fontId="28" fillId="0" borderId="1" xfId="0" applyFont="1" applyBorder="1" applyAlignment="1">
      <alignment horizontal="center" vertical="center"/>
    </xf>
    <xf numFmtId="0" fontId="29" fillId="0" borderId="4" xfId="0" applyFont="1" applyBorder="1" applyAlignment="1">
      <alignment horizontal="center" vertical="center" wrapText="1"/>
    </xf>
    <xf numFmtId="0" fontId="6" fillId="0" borderId="1" xfId="0" applyFont="1" applyBorder="1" applyAlignment="1">
      <alignment horizontal="center" vertical="center" wrapText="1"/>
    </xf>
    <xf numFmtId="0" fontId="20" fillId="0" borderId="1" xfId="0" applyFont="1" applyBorder="1" applyAlignment="1">
      <alignment horizontal="center" vertical="center" wrapText="1"/>
    </xf>
    <xf numFmtId="165" fontId="13" fillId="0" borderId="4" xfId="0" applyNumberFormat="1" applyFont="1" applyBorder="1" applyAlignment="1">
      <alignment horizontal="left" vertical="center"/>
    </xf>
    <xf numFmtId="42" fontId="5" fillId="0" borderId="0" xfId="0" applyNumberFormat="1" applyFont="1" applyAlignment="1">
      <alignment vertical="center"/>
    </xf>
    <xf numFmtId="42" fontId="15" fillId="6" borderId="1" xfId="0" applyNumberFormat="1" applyFont="1" applyFill="1" applyBorder="1" applyAlignment="1">
      <alignment horizontal="center" vertical="center"/>
    </xf>
    <xf numFmtId="42" fontId="15" fillId="8" borderId="1" xfId="0" applyNumberFormat="1" applyFont="1" applyFill="1" applyBorder="1" applyAlignment="1">
      <alignment horizontal="center" vertical="center" wrapText="1"/>
    </xf>
    <xf numFmtId="42" fontId="15" fillId="6" borderId="1" xfId="0" applyNumberFormat="1" applyFont="1" applyFill="1" applyBorder="1" applyAlignment="1">
      <alignment horizontal="center" vertical="center" wrapText="1"/>
    </xf>
    <xf numFmtId="42" fontId="15" fillId="7" borderId="1" xfId="0" applyNumberFormat="1" applyFont="1" applyFill="1" applyBorder="1" applyAlignment="1">
      <alignment vertical="center"/>
    </xf>
    <xf numFmtId="42" fontId="15" fillId="7" borderId="1" xfId="0" applyNumberFormat="1" applyFont="1" applyFill="1" applyBorder="1" applyAlignment="1">
      <alignment horizontal="center" vertical="center" wrapText="1"/>
    </xf>
    <xf numFmtId="42" fontId="23" fillId="0" borderId="0" xfId="0" applyNumberFormat="1" applyFont="1" applyAlignment="1">
      <alignment vertical="center"/>
    </xf>
    <xf numFmtId="42" fontId="8" fillId="0" borderId="0" xfId="0" applyNumberFormat="1" applyFont="1" applyAlignment="1">
      <alignment vertical="center"/>
    </xf>
    <xf numFmtId="42" fontId="0" fillId="0" borderId="0" xfId="0" applyNumberFormat="1" applyAlignment="1">
      <alignment vertical="center"/>
    </xf>
    <xf numFmtId="42" fontId="0" fillId="3" borderId="0" xfId="0" applyNumberFormat="1" applyFill="1" applyAlignment="1">
      <alignment vertical="center"/>
    </xf>
    <xf numFmtId="165" fontId="15" fillId="9" borderId="1" xfId="6" applyNumberFormat="1" applyFont="1" applyFill="1" applyBorder="1" applyAlignment="1">
      <alignment horizontal="center" vertical="center" wrapText="1"/>
    </xf>
    <xf numFmtId="0" fontId="15" fillId="9" borderId="1" xfId="0" applyFont="1" applyFill="1" applyBorder="1" applyAlignment="1">
      <alignment horizontal="center" vertical="center" wrapText="1"/>
    </xf>
    <xf numFmtId="9" fontId="23" fillId="0" borderId="1" xfId="7" applyFont="1" applyBorder="1" applyAlignment="1">
      <alignment vertical="center"/>
    </xf>
    <xf numFmtId="42" fontId="0" fillId="0" borderId="1" xfId="0" applyNumberFormat="1" applyBorder="1" applyAlignment="1">
      <alignment vertical="center"/>
    </xf>
    <xf numFmtId="42" fontId="15" fillId="7" borderId="0" xfId="0" applyNumberFormat="1" applyFont="1" applyFill="1" applyAlignment="1">
      <alignment horizontal="center" vertical="center"/>
    </xf>
    <xf numFmtId="0" fontId="15" fillId="2" borderId="0" xfId="0" applyFont="1" applyFill="1" applyAlignment="1">
      <alignment horizontal="center" vertical="center" wrapText="1"/>
    </xf>
    <xf numFmtId="42" fontId="23" fillId="0" borderId="1" xfId="2" applyNumberFormat="1" applyFont="1" applyBorder="1" applyAlignment="1">
      <alignment vertical="center"/>
    </xf>
    <xf numFmtId="42" fontId="5" fillId="3" borderId="0" xfId="0" applyNumberFormat="1" applyFont="1" applyFill="1" applyAlignment="1">
      <alignment vertical="center"/>
    </xf>
    <xf numFmtId="42" fontId="23" fillId="0" borderId="0" xfId="2" applyNumberFormat="1" applyFont="1" applyBorder="1" applyAlignment="1">
      <alignment vertical="center"/>
    </xf>
    <xf numFmtId="42" fontId="14" fillId="0" borderId="0" xfId="0" applyNumberFormat="1" applyFont="1" applyAlignment="1">
      <alignment horizontal="left" vertical="center" wrapText="1"/>
    </xf>
    <xf numFmtId="42" fontId="13" fillId="0" borderId="0" xfId="0" applyNumberFormat="1" applyFont="1" applyAlignment="1">
      <alignment horizontal="left" vertical="center" wrapText="1"/>
    </xf>
    <xf numFmtId="42" fontId="31" fillId="3" borderId="1" xfId="0" applyNumberFormat="1" applyFont="1" applyFill="1" applyBorder="1" applyAlignment="1">
      <alignment vertical="center"/>
    </xf>
    <xf numFmtId="42" fontId="31" fillId="3" borderId="1" xfId="6" applyNumberFormat="1" applyFont="1" applyFill="1" applyBorder="1" applyAlignment="1">
      <alignment vertical="center"/>
    </xf>
    <xf numFmtId="42" fontId="31" fillId="0" borderId="1" xfId="6" applyNumberFormat="1" applyFont="1" applyBorder="1" applyAlignment="1">
      <alignment vertical="center"/>
    </xf>
    <xf numFmtId="42" fontId="31" fillId="3" borderId="1" xfId="2" applyNumberFormat="1" applyFont="1" applyFill="1" applyBorder="1" applyAlignment="1">
      <alignment vertical="center"/>
    </xf>
    <xf numFmtId="9" fontId="0" fillId="0" borderId="1" xfId="7" applyFont="1" applyBorder="1" applyAlignment="1">
      <alignment vertical="center"/>
    </xf>
    <xf numFmtId="9" fontId="5" fillId="0" borderId="0" xfId="7" applyFont="1" applyAlignment="1">
      <alignment vertical="center"/>
    </xf>
    <xf numFmtId="9" fontId="25" fillId="0" borderId="1" xfId="7" applyFont="1" applyBorder="1" applyAlignment="1">
      <alignment vertical="center"/>
    </xf>
    <xf numFmtId="42" fontId="7" fillId="0" borderId="0" xfId="0" applyNumberFormat="1" applyFont="1" applyAlignment="1">
      <alignment vertical="center"/>
    </xf>
    <xf numFmtId="9" fontId="31" fillId="0" borderId="1" xfId="7" applyFont="1" applyBorder="1" applyAlignment="1">
      <alignment vertical="center"/>
    </xf>
    <xf numFmtId="0" fontId="5" fillId="3" borderId="0" xfId="0" applyFont="1" applyFill="1"/>
    <xf numFmtId="0" fontId="22" fillId="3" borderId="0" xfId="0" applyFont="1" applyFill="1" applyAlignment="1">
      <alignment horizontal="center" vertical="center" wrapText="1"/>
    </xf>
    <xf numFmtId="0" fontId="13" fillId="3" borderId="0" xfId="0" applyFont="1" applyFill="1" applyAlignment="1">
      <alignment horizontal="left" vertical="center" wrapText="1"/>
    </xf>
    <xf numFmtId="42" fontId="13" fillId="3" borderId="0" xfId="0" applyNumberFormat="1" applyFont="1" applyFill="1" applyAlignment="1">
      <alignment horizontal="center" vertical="center" wrapText="1"/>
    </xf>
    <xf numFmtId="0" fontId="13" fillId="3" borderId="0" xfId="0" applyFont="1" applyFill="1" applyAlignment="1">
      <alignment horizontal="center" vertical="center" wrapText="1"/>
    </xf>
    <xf numFmtId="165" fontId="5" fillId="3" borderId="0" xfId="0" applyNumberFormat="1" applyFont="1" applyFill="1" applyAlignment="1">
      <alignment vertical="center"/>
    </xf>
    <xf numFmtId="0" fontId="15" fillId="3" borderId="0" xfId="0" applyFont="1" applyFill="1" applyAlignment="1">
      <alignment horizontal="center" vertical="center" wrapText="1"/>
    </xf>
    <xf numFmtId="0" fontId="8" fillId="3" borderId="0" xfId="0" applyFont="1" applyFill="1"/>
    <xf numFmtId="0" fontId="11" fillId="0" borderId="13" xfId="0" applyFont="1" applyBorder="1" applyAlignment="1">
      <alignment horizontal="center" vertical="center"/>
    </xf>
    <xf numFmtId="0" fontId="11" fillId="0" borderId="1" xfId="0" applyFont="1" applyBorder="1" applyAlignment="1">
      <alignment horizontal="center" vertical="center"/>
    </xf>
    <xf numFmtId="0" fontId="21" fillId="3" borderId="6" xfId="0" applyFont="1" applyFill="1" applyBorder="1" applyAlignment="1">
      <alignment horizontal="left" vertical="center"/>
    </xf>
    <xf numFmtId="42" fontId="21" fillId="3" borderId="6" xfId="0" applyNumberFormat="1" applyFont="1" applyFill="1" applyBorder="1" applyAlignment="1">
      <alignment horizontal="left" vertical="center"/>
    </xf>
    <xf numFmtId="168" fontId="21" fillId="3" borderId="6" xfId="1" applyNumberFormat="1" applyFont="1" applyFill="1" applyBorder="1" applyAlignment="1">
      <alignment vertical="center"/>
    </xf>
    <xf numFmtId="168" fontId="24" fillId="3" borderId="6" xfId="1" applyNumberFormat="1" applyFont="1" applyFill="1" applyBorder="1" applyAlignment="1">
      <alignment vertical="center"/>
    </xf>
    <xf numFmtId="168" fontId="24" fillId="3" borderId="6" xfId="1" applyNumberFormat="1" applyFont="1" applyFill="1" applyBorder="1" applyAlignment="1">
      <alignment horizontal="center" vertical="center"/>
    </xf>
    <xf numFmtId="42" fontId="14" fillId="3" borderId="1" xfId="0" applyNumberFormat="1" applyFont="1" applyFill="1" applyBorder="1" applyAlignment="1">
      <alignment vertical="center"/>
    </xf>
    <xf numFmtId="42" fontId="14" fillId="3" borderId="1" xfId="6" applyNumberFormat="1" applyFont="1" applyFill="1" applyBorder="1" applyAlignment="1">
      <alignment vertical="center"/>
    </xf>
    <xf numFmtId="42" fontId="14" fillId="3" borderId="1" xfId="2" applyNumberFormat="1" applyFont="1" applyFill="1" applyBorder="1" applyAlignment="1">
      <alignment vertical="center"/>
    </xf>
    <xf numFmtId="0" fontId="23" fillId="0" borderId="0" xfId="0" applyFont="1"/>
    <xf numFmtId="0" fontId="12" fillId="2" borderId="1" xfId="0" applyFont="1" applyFill="1" applyBorder="1" applyAlignment="1">
      <alignment horizontal="center" vertical="center"/>
    </xf>
    <xf numFmtId="42" fontId="12" fillId="2" borderId="1" xfId="0" applyNumberFormat="1" applyFont="1" applyFill="1" applyBorder="1" applyAlignment="1">
      <alignment horizontal="center" vertical="center" wrapText="1"/>
    </xf>
    <xf numFmtId="42" fontId="12" fillId="2" borderId="1" xfId="0" applyNumberFormat="1" applyFont="1" applyFill="1" applyBorder="1" applyAlignment="1">
      <alignment horizontal="center" vertical="center"/>
    </xf>
    <xf numFmtId="42" fontId="14" fillId="0" borderId="1" xfId="2" applyNumberFormat="1" applyFont="1" applyBorder="1" applyAlignment="1">
      <alignment horizontal="center" vertical="center"/>
    </xf>
    <xf numFmtId="42" fontId="14" fillId="0" borderId="1" xfId="2" applyNumberFormat="1" applyFont="1" applyBorder="1" applyAlignment="1">
      <alignment vertical="center"/>
    </xf>
    <xf numFmtId="42" fontId="14" fillId="0" borderId="1" xfId="2" applyNumberFormat="1" applyFont="1" applyBorder="1" applyAlignment="1">
      <alignment horizontal="left" vertical="center"/>
    </xf>
    <xf numFmtId="42" fontId="11" fillId="3" borderId="1" xfId="0" applyNumberFormat="1" applyFont="1" applyFill="1" applyBorder="1" applyAlignment="1">
      <alignment horizontal="left" vertical="center"/>
    </xf>
    <xf numFmtId="42" fontId="11" fillId="3" borderId="1" xfId="1" applyNumberFormat="1" applyFont="1" applyFill="1" applyBorder="1" applyAlignment="1">
      <alignment vertical="center"/>
    </xf>
    <xf numFmtId="42" fontId="11" fillId="3" borderId="4" xfId="0" applyNumberFormat="1" applyFont="1" applyFill="1" applyBorder="1" applyAlignment="1">
      <alignment horizontal="left" vertical="center"/>
    </xf>
    <xf numFmtId="42" fontId="12" fillId="3" borderId="14" xfId="0" applyNumberFormat="1" applyFont="1" applyFill="1" applyBorder="1" applyAlignment="1">
      <alignment horizontal="left" vertical="center"/>
    </xf>
    <xf numFmtId="168" fontId="12" fillId="3" borderId="0" xfId="1" applyNumberFormat="1" applyFont="1" applyFill="1" applyBorder="1" applyAlignment="1">
      <alignment vertical="center"/>
    </xf>
    <xf numFmtId="168" fontId="11" fillId="3" borderId="0" xfId="1" applyNumberFormat="1" applyFont="1" applyFill="1" applyBorder="1" applyAlignment="1">
      <alignment vertical="center"/>
    </xf>
    <xf numFmtId="42" fontId="12" fillId="3" borderId="0" xfId="0" applyNumberFormat="1" applyFont="1" applyFill="1" applyBorder="1" applyAlignment="1">
      <alignment horizontal="left" vertical="center"/>
    </xf>
    <xf numFmtId="168" fontId="11" fillId="3" borderId="0" xfId="1" applyNumberFormat="1" applyFont="1" applyFill="1" applyBorder="1" applyAlignment="1">
      <alignment horizontal="center" vertical="center"/>
    </xf>
    <xf numFmtId="42" fontId="21" fillId="3" borderId="14" xfId="0" applyNumberFormat="1" applyFont="1" applyFill="1" applyBorder="1" applyAlignment="1">
      <alignment horizontal="left" vertical="center"/>
    </xf>
    <xf numFmtId="168" fontId="21" fillId="3" borderId="0" xfId="1" applyNumberFormat="1" applyFont="1" applyFill="1" applyBorder="1" applyAlignment="1">
      <alignment vertical="center"/>
    </xf>
    <xf numFmtId="168" fontId="24" fillId="3" borderId="0" xfId="1" applyNumberFormat="1" applyFont="1" applyFill="1" applyBorder="1" applyAlignment="1">
      <alignment vertical="center"/>
    </xf>
    <xf numFmtId="42" fontId="21" fillId="3" borderId="0" xfId="0" applyNumberFormat="1" applyFont="1" applyFill="1" applyBorder="1" applyAlignment="1">
      <alignment horizontal="left" vertical="center"/>
    </xf>
    <xf numFmtId="168" fontId="24" fillId="3" borderId="0" xfId="1" applyNumberFormat="1" applyFont="1" applyFill="1" applyBorder="1" applyAlignment="1">
      <alignment horizontal="center" vertical="center"/>
    </xf>
    <xf numFmtId="42" fontId="14" fillId="3" borderId="3" xfId="0" applyNumberFormat="1" applyFont="1" applyFill="1" applyBorder="1" applyAlignment="1">
      <alignment vertical="center"/>
    </xf>
    <xf numFmtId="42" fontId="31" fillId="3" borderId="3" xfId="0" applyNumberFormat="1" applyFont="1" applyFill="1" applyBorder="1" applyAlignment="1">
      <alignment vertical="center"/>
    </xf>
    <xf numFmtId="42" fontId="13" fillId="0" borderId="14" xfId="0" applyNumberFormat="1" applyFont="1" applyBorder="1" applyAlignment="1">
      <alignment vertical="center"/>
    </xf>
    <xf numFmtId="42" fontId="14" fillId="0" borderId="14" xfId="0" applyNumberFormat="1" applyFont="1" applyBorder="1" applyAlignment="1">
      <alignment vertical="center"/>
    </xf>
    <xf numFmtId="42" fontId="14" fillId="0" borderId="6" xfId="0" applyNumberFormat="1" applyFont="1" applyBorder="1" applyAlignment="1">
      <alignment vertical="center"/>
    </xf>
    <xf numFmtId="42" fontId="14" fillId="0" borderId="0" xfId="0" applyNumberFormat="1" applyFont="1" applyBorder="1" applyAlignment="1">
      <alignment vertical="center"/>
    </xf>
    <xf numFmtId="42" fontId="31" fillId="3" borderId="6" xfId="0" applyNumberFormat="1" applyFont="1" applyFill="1" applyBorder="1" applyAlignment="1">
      <alignment vertical="center"/>
    </xf>
    <xf numFmtId="42" fontId="31" fillId="3" borderId="6" xfId="6" applyNumberFormat="1" applyFont="1" applyFill="1" applyBorder="1" applyAlignment="1">
      <alignment vertical="center"/>
    </xf>
    <xf numFmtId="42" fontId="0" fillId="3" borderId="0" xfId="0" applyNumberFormat="1" applyFill="1" applyBorder="1" applyAlignment="1">
      <alignment vertical="center"/>
    </xf>
    <xf numFmtId="42" fontId="23" fillId="0" borderId="6" xfId="2" applyNumberFormat="1" applyFont="1" applyBorder="1" applyAlignment="1">
      <alignment vertical="center"/>
    </xf>
    <xf numFmtId="42" fontId="23" fillId="0" borderId="6" xfId="0" applyNumberFormat="1" applyFont="1" applyBorder="1" applyAlignment="1">
      <alignment vertical="center"/>
    </xf>
    <xf numFmtId="9" fontId="23" fillId="0" borderId="6" xfId="7" applyFont="1" applyBorder="1" applyAlignment="1">
      <alignment vertical="center"/>
    </xf>
    <xf numFmtId="42" fontId="23" fillId="0" borderId="6" xfId="7" applyNumberFormat="1" applyFont="1" applyBorder="1" applyAlignment="1">
      <alignment vertical="center"/>
    </xf>
    <xf numFmtId="42" fontId="0" fillId="3" borderId="6" xfId="0" applyNumberFormat="1" applyFill="1" applyBorder="1" applyAlignment="1">
      <alignment vertical="center"/>
    </xf>
    <xf numFmtId="42" fontId="31" fillId="0" borderId="6" xfId="6" applyNumberFormat="1" applyFont="1" applyBorder="1" applyAlignment="1">
      <alignment vertical="center"/>
    </xf>
    <xf numFmtId="9" fontId="31" fillId="0" borderId="6" xfId="7" applyFont="1" applyBorder="1" applyAlignment="1">
      <alignment vertical="center"/>
    </xf>
    <xf numFmtId="42" fontId="31" fillId="3" borderId="6" xfId="2" applyNumberFormat="1" applyFont="1" applyFill="1" applyBorder="1" applyAlignment="1">
      <alignment vertical="center"/>
    </xf>
    <xf numFmtId="42" fontId="0" fillId="0" borderId="0" xfId="0" applyNumberFormat="1" applyBorder="1" applyAlignment="1">
      <alignment vertical="center"/>
    </xf>
    <xf numFmtId="42" fontId="23" fillId="0" borderId="0" xfId="0" applyNumberFormat="1" applyFont="1" applyBorder="1" applyAlignment="1">
      <alignment vertical="center"/>
    </xf>
    <xf numFmtId="42" fontId="13" fillId="0" borderId="0" xfId="0" applyNumberFormat="1" applyFont="1" applyBorder="1" applyAlignment="1">
      <alignment vertical="center"/>
    </xf>
    <xf numFmtId="42" fontId="13" fillId="3" borderId="6" xfId="0" applyNumberFormat="1" applyFont="1" applyFill="1" applyBorder="1" applyAlignment="1">
      <alignment vertical="center"/>
    </xf>
    <xf numFmtId="42" fontId="23" fillId="3" borderId="6" xfId="2" applyNumberFormat="1" applyFont="1" applyFill="1" applyBorder="1" applyAlignment="1">
      <alignment vertical="center"/>
    </xf>
    <xf numFmtId="42" fontId="23" fillId="3" borderId="6" xfId="0" applyNumberFormat="1" applyFont="1" applyFill="1" applyBorder="1" applyAlignment="1">
      <alignment vertical="center"/>
    </xf>
    <xf numFmtId="9" fontId="23" fillId="3" borderId="6" xfId="7" applyFont="1" applyFill="1" applyBorder="1" applyAlignment="1">
      <alignment vertical="center"/>
    </xf>
    <xf numFmtId="9" fontId="0" fillId="3" borderId="6" xfId="7" applyFont="1" applyFill="1" applyBorder="1" applyAlignment="1">
      <alignment vertical="center"/>
    </xf>
    <xf numFmtId="9" fontId="31" fillId="3" borderId="6" xfId="7" applyFont="1" applyFill="1" applyBorder="1" applyAlignment="1">
      <alignment vertical="center"/>
    </xf>
    <xf numFmtId="42" fontId="13" fillId="0" borderId="5" xfId="0" applyNumberFormat="1" applyFont="1" applyBorder="1" applyAlignment="1">
      <alignment vertical="center"/>
    </xf>
    <xf numFmtId="42" fontId="14" fillId="3" borderId="5" xfId="0" applyNumberFormat="1" applyFont="1" applyFill="1" applyBorder="1" applyAlignment="1">
      <alignment vertical="center"/>
    </xf>
    <xf numFmtId="42" fontId="14" fillId="3" borderId="5" xfId="6" applyNumberFormat="1" applyFont="1" applyFill="1" applyBorder="1" applyAlignment="1">
      <alignment vertical="center"/>
    </xf>
    <xf numFmtId="42" fontId="23" fillId="0" borderId="5" xfId="2" applyNumberFormat="1" applyFont="1" applyBorder="1" applyAlignment="1">
      <alignment vertical="center"/>
    </xf>
    <xf numFmtId="42" fontId="23" fillId="0" borderId="5" xfId="0" applyNumberFormat="1" applyFont="1" applyBorder="1" applyAlignment="1">
      <alignment vertical="center"/>
    </xf>
    <xf numFmtId="9" fontId="23" fillId="0" borderId="5" xfId="7" applyFont="1" applyBorder="1" applyAlignment="1">
      <alignment vertical="center"/>
    </xf>
    <xf numFmtId="42" fontId="14" fillId="0" borderId="5" xfId="6" applyNumberFormat="1" applyFont="1" applyBorder="1" applyAlignment="1">
      <alignment vertical="center"/>
    </xf>
    <xf numFmtId="9" fontId="14" fillId="0" borderId="5" xfId="7" applyFont="1" applyBorder="1" applyAlignment="1">
      <alignment vertical="center"/>
    </xf>
    <xf numFmtId="42" fontId="14" fillId="3" borderId="5" xfId="2" applyNumberFormat="1" applyFont="1" applyFill="1" applyBorder="1" applyAlignment="1">
      <alignment vertical="center"/>
    </xf>
    <xf numFmtId="0" fontId="23" fillId="0" borderId="1" xfId="0" applyFont="1" applyBorder="1"/>
    <xf numFmtId="42" fontId="23" fillId="0" borderId="1" xfId="0" applyNumberFormat="1" applyFont="1" applyBorder="1" applyAlignment="1">
      <alignment horizontal="center" vertical="center" wrapText="1"/>
    </xf>
    <xf numFmtId="42" fontId="14" fillId="0" borderId="1" xfId="6" applyNumberFormat="1" applyFont="1" applyBorder="1" applyAlignment="1">
      <alignment horizontal="center" vertical="center" wrapText="1"/>
    </xf>
    <xf numFmtId="0" fontId="28" fillId="0" borderId="2" xfId="0" applyFont="1" applyBorder="1" applyAlignment="1">
      <alignment horizontal="center" vertical="center"/>
    </xf>
    <xf numFmtId="42" fontId="14" fillId="0" borderId="4" xfId="2" applyNumberFormat="1" applyFont="1" applyBorder="1" applyAlignment="1">
      <alignment horizontal="left" vertical="center"/>
    </xf>
    <xf numFmtId="42" fontId="14" fillId="0" borderId="4" xfId="2" applyNumberFormat="1" applyFont="1" applyBorder="1" applyAlignment="1">
      <alignment vertical="center"/>
    </xf>
    <xf numFmtId="42" fontId="0" fillId="0" borderId="6" xfId="0" applyNumberFormat="1" applyBorder="1" applyAlignment="1">
      <alignment vertical="center"/>
    </xf>
    <xf numFmtId="42" fontId="11" fillId="3" borderId="4" xfId="1" applyNumberFormat="1" applyFont="1" applyFill="1" applyBorder="1" applyAlignment="1">
      <alignment vertical="center"/>
    </xf>
    <xf numFmtId="168" fontId="11" fillId="3" borderId="4" xfId="1" applyNumberFormat="1" applyFont="1" applyFill="1" applyBorder="1" applyAlignment="1">
      <alignment horizontal="center" vertical="center"/>
    </xf>
    <xf numFmtId="168" fontId="24" fillId="3" borderId="4" xfId="1" applyNumberFormat="1" applyFont="1" applyFill="1" applyBorder="1" applyAlignment="1">
      <alignment horizontal="center" vertical="center"/>
    </xf>
    <xf numFmtId="0" fontId="0" fillId="0" borderId="0" xfId="0" applyBorder="1"/>
    <xf numFmtId="0" fontId="13" fillId="3" borderId="4" xfId="0" applyFont="1" applyFill="1" applyBorder="1" applyAlignment="1">
      <alignment horizontal="center" vertical="center" wrapText="1"/>
    </xf>
    <xf numFmtId="167" fontId="5" fillId="0" borderId="0" xfId="0" applyNumberFormat="1" applyFont="1"/>
    <xf numFmtId="0" fontId="13" fillId="3" borderId="4" xfId="0" applyFont="1" applyFill="1" applyBorder="1" applyAlignment="1">
      <alignment vertical="center" wrapText="1"/>
    </xf>
    <xf numFmtId="0" fontId="12" fillId="3" borderId="4" xfId="0" applyFont="1" applyFill="1" applyBorder="1" applyAlignment="1">
      <alignment horizontal="right" vertical="center" wrapText="1" indent="1"/>
    </xf>
    <xf numFmtId="167" fontId="12" fillId="3" borderId="4" xfId="1" applyNumberFormat="1" applyFont="1" applyFill="1" applyBorder="1" applyAlignment="1">
      <alignment horizontal="center" vertical="center"/>
    </xf>
    <xf numFmtId="42" fontId="14" fillId="3" borderId="6" xfId="0" applyNumberFormat="1" applyFont="1" applyFill="1" applyBorder="1" applyAlignment="1">
      <alignment vertical="center"/>
    </xf>
    <xf numFmtId="42" fontId="14" fillId="3" borderId="0" xfId="0" applyNumberFormat="1" applyFont="1" applyFill="1" applyBorder="1" applyAlignment="1">
      <alignment vertical="center"/>
    </xf>
    <xf numFmtId="0" fontId="5" fillId="3" borderId="0" xfId="0" applyFont="1" applyFill="1" applyBorder="1"/>
    <xf numFmtId="0" fontId="0" fillId="3" borderId="0" xfId="0" applyFill="1" applyBorder="1"/>
    <xf numFmtId="0" fontId="13" fillId="3" borderId="0" xfId="0" applyFont="1" applyFill="1" applyBorder="1" applyAlignment="1">
      <alignment vertical="center" wrapText="1"/>
    </xf>
    <xf numFmtId="0" fontId="13" fillId="3" borderId="6" xfId="0" applyFont="1" applyFill="1" applyBorder="1" applyAlignment="1">
      <alignment vertical="center" wrapText="1"/>
    </xf>
    <xf numFmtId="165" fontId="24" fillId="3" borderId="6" xfId="2" applyNumberFormat="1" applyFont="1" applyFill="1" applyBorder="1" applyAlignment="1">
      <alignment horizontal="center" vertical="center"/>
    </xf>
    <xf numFmtId="0" fontId="13" fillId="3" borderId="14" xfId="0" applyFont="1" applyFill="1" applyBorder="1" applyAlignment="1">
      <alignment vertical="center" wrapText="1"/>
    </xf>
    <xf numFmtId="0" fontId="12" fillId="3" borderId="5" xfId="0" applyFont="1" applyFill="1" applyBorder="1" applyAlignment="1">
      <alignment horizontal="right" vertical="center" wrapText="1" indent="1"/>
    </xf>
    <xf numFmtId="0" fontId="13" fillId="3" borderId="15" xfId="0" applyFont="1" applyFill="1" applyBorder="1" applyAlignment="1">
      <alignment vertical="center" wrapText="1"/>
    </xf>
    <xf numFmtId="0" fontId="12" fillId="3" borderId="0" xfId="0" applyFont="1" applyFill="1" applyBorder="1" applyAlignment="1">
      <alignment vertical="center" wrapText="1"/>
    </xf>
    <xf numFmtId="0" fontId="12" fillId="3" borderId="15" xfId="0" applyFont="1" applyFill="1" applyBorder="1" applyAlignment="1">
      <alignment vertical="center" wrapText="1"/>
    </xf>
    <xf numFmtId="0" fontId="5" fillId="0" borderId="0" xfId="0" applyFont="1" applyBorder="1"/>
    <xf numFmtId="166" fontId="13" fillId="3" borderId="14" xfId="6" applyNumberFormat="1" applyFont="1" applyFill="1" applyBorder="1" applyAlignment="1">
      <alignment vertical="center"/>
    </xf>
    <xf numFmtId="166" fontId="13" fillId="3" borderId="0" xfId="6" applyNumberFormat="1" applyFont="1" applyFill="1" applyBorder="1" applyAlignment="1">
      <alignment vertical="center"/>
    </xf>
    <xf numFmtId="165" fontId="13" fillId="3" borderId="0" xfId="0" applyNumberFormat="1" applyFont="1" applyFill="1" applyAlignment="1">
      <alignment horizontal="center" vertical="center" wrapText="1"/>
    </xf>
    <xf numFmtId="0" fontId="13" fillId="0" borderId="0" xfId="0" applyFont="1" applyBorder="1" applyAlignment="1">
      <alignment horizontal="center"/>
    </xf>
    <xf numFmtId="165" fontId="0" fillId="0" borderId="1" xfId="2" applyNumberFormat="1" applyFont="1" applyBorder="1"/>
    <xf numFmtId="165" fontId="0" fillId="0" borderId="7" xfId="2" applyNumberFormat="1" applyFont="1" applyBorder="1"/>
    <xf numFmtId="165" fontId="0" fillId="0" borderId="8" xfId="2" applyNumberFormat="1" applyFont="1" applyBorder="1" applyAlignment="1">
      <alignment wrapText="1"/>
    </xf>
    <xf numFmtId="165" fontId="17" fillId="0" borderId="22" xfId="0" applyNumberFormat="1" applyFont="1" applyBorder="1"/>
    <xf numFmtId="0" fontId="1" fillId="0" borderId="2" xfId="0" applyFont="1" applyBorder="1"/>
    <xf numFmtId="0" fontId="1" fillId="0" borderId="11" xfId="0" applyFont="1" applyBorder="1"/>
    <xf numFmtId="0" fontId="17" fillId="0" borderId="24" xfId="0" applyFont="1" applyBorder="1"/>
    <xf numFmtId="0" fontId="1" fillId="0" borderId="10" xfId="0" applyFont="1" applyBorder="1"/>
    <xf numFmtId="165" fontId="17" fillId="0" borderId="23" xfId="0" applyNumberFormat="1" applyFont="1" applyBorder="1"/>
    <xf numFmtId="0" fontId="17" fillId="5" borderId="2" xfId="0" applyFont="1" applyFill="1" applyBorder="1"/>
    <xf numFmtId="165" fontId="35" fillId="5" borderId="1" xfId="0" applyNumberFormat="1" applyFont="1" applyFill="1" applyBorder="1"/>
    <xf numFmtId="0" fontId="17" fillId="5" borderId="1" xfId="0" applyFont="1" applyFill="1" applyBorder="1" applyAlignment="1">
      <alignment vertical="center" wrapText="1"/>
    </xf>
    <xf numFmtId="0" fontId="0" fillId="0" borderId="0" xfId="0" applyAlignment="1">
      <alignment vertical="center" wrapText="1"/>
    </xf>
    <xf numFmtId="0" fontId="28" fillId="0" borderId="1" xfId="0" applyFont="1" applyBorder="1" applyAlignment="1">
      <alignment horizontal="center" vertical="center" wrapText="1"/>
    </xf>
    <xf numFmtId="0" fontId="32" fillId="0" borderId="1" xfId="0" applyFont="1" applyBorder="1" applyAlignment="1">
      <alignment vertical="center" wrapText="1"/>
    </xf>
    <xf numFmtId="0" fontId="1" fillId="0" borderId="1" xfId="0" applyFont="1" applyBorder="1" applyAlignment="1">
      <alignment horizontal="center" vertical="center" wrapText="1"/>
    </xf>
    <xf numFmtId="0" fontId="36" fillId="2" borderId="1" xfId="0" applyFont="1" applyFill="1" applyBorder="1" applyAlignment="1">
      <alignment horizontal="center" vertical="center" wrapText="1"/>
    </xf>
    <xf numFmtId="0" fontId="39" fillId="0" borderId="0" xfId="0" applyFont="1"/>
    <xf numFmtId="0" fontId="39" fillId="3" borderId="0" xfId="0" applyFont="1" applyFill="1"/>
    <xf numFmtId="0" fontId="39" fillId="0" borderId="0" xfId="0" applyFont="1" applyAlignment="1">
      <alignment vertical="center"/>
    </xf>
    <xf numFmtId="168" fontId="36" fillId="3" borderId="0" xfId="1" applyNumberFormat="1" applyFont="1" applyFill="1" applyBorder="1" applyAlignment="1">
      <alignment vertical="center"/>
    </xf>
    <xf numFmtId="168" fontId="38" fillId="3" borderId="0" xfId="1" applyNumberFormat="1" applyFont="1" applyFill="1" applyBorder="1" applyAlignment="1">
      <alignment horizontal="center" vertical="center"/>
    </xf>
    <xf numFmtId="0" fontId="36" fillId="2" borderId="1" xfId="0" applyFont="1" applyFill="1" applyBorder="1" applyAlignment="1">
      <alignment horizontal="center" vertical="center"/>
    </xf>
    <xf numFmtId="0" fontId="37" fillId="3" borderId="0" xfId="0" applyFont="1" applyFill="1" applyBorder="1" applyAlignment="1">
      <alignment vertical="center" wrapText="1"/>
    </xf>
    <xf numFmtId="0" fontId="39" fillId="3" borderId="0" xfId="0" applyFont="1" applyFill="1" applyBorder="1"/>
    <xf numFmtId="0" fontId="36" fillId="3" borderId="5" xfId="0" applyFont="1" applyFill="1" applyBorder="1" applyAlignment="1">
      <alignment horizontal="right" vertical="center" wrapText="1" indent="1"/>
    </xf>
    <xf numFmtId="167" fontId="36" fillId="3" borderId="4" xfId="1" applyNumberFormat="1" applyFont="1" applyFill="1" applyBorder="1" applyAlignment="1">
      <alignment horizontal="center" vertical="center"/>
    </xf>
    <xf numFmtId="167" fontId="36" fillId="3" borderId="6" xfId="1" applyNumberFormat="1" applyFont="1" applyFill="1" applyBorder="1" applyAlignment="1">
      <alignment horizontal="center" vertical="center"/>
    </xf>
    <xf numFmtId="165" fontId="41" fillId="3" borderId="1" xfId="2" applyNumberFormat="1" applyFont="1" applyFill="1" applyBorder="1" applyAlignment="1">
      <alignment horizontal="center" vertical="center"/>
    </xf>
    <xf numFmtId="42" fontId="38" fillId="3" borderId="1" xfId="3" applyFont="1" applyFill="1" applyBorder="1" applyAlignment="1">
      <alignment vertical="center"/>
    </xf>
    <xf numFmtId="42" fontId="38" fillId="3" borderId="1" xfId="3" applyNumberFormat="1" applyFont="1" applyFill="1" applyBorder="1" applyAlignment="1">
      <alignment vertical="center"/>
    </xf>
    <xf numFmtId="0" fontId="42" fillId="0" borderId="1" xfId="0" applyFont="1" applyBorder="1" applyAlignment="1">
      <alignment horizontal="center" vertical="center"/>
    </xf>
    <xf numFmtId="0" fontId="42" fillId="0" borderId="7" xfId="0" applyFont="1" applyBorder="1" applyAlignment="1">
      <alignment horizontal="center" vertical="center" wrapText="1"/>
    </xf>
    <xf numFmtId="0" fontId="42" fillId="0" borderId="1" xfId="0" applyFont="1" applyBorder="1" applyAlignment="1">
      <alignment horizontal="justify" vertical="center" wrapText="1"/>
    </xf>
    <xf numFmtId="0" fontId="42" fillId="0" borderId="1" xfId="0" applyFont="1" applyBorder="1" applyAlignment="1">
      <alignment horizontal="center" vertical="center" wrapText="1"/>
    </xf>
    <xf numFmtId="0" fontId="43" fillId="0" borderId="1" xfId="0" applyFont="1" applyBorder="1" applyAlignment="1">
      <alignment horizontal="justify" vertical="center" wrapText="1"/>
    </xf>
    <xf numFmtId="0" fontId="37" fillId="3" borderId="1" xfId="0" applyFont="1" applyFill="1" applyBorder="1" applyAlignment="1">
      <alignment horizontal="center" vertical="center" wrapText="1"/>
    </xf>
    <xf numFmtId="42" fontId="38" fillId="5" borderId="1" xfId="3" applyFont="1" applyFill="1" applyBorder="1" applyAlignment="1">
      <alignment vertical="center"/>
    </xf>
    <xf numFmtId="170" fontId="39" fillId="0" borderId="0" xfId="0" applyNumberFormat="1" applyFont="1" applyAlignment="1">
      <alignment vertical="center"/>
    </xf>
    <xf numFmtId="44" fontId="39" fillId="0" borderId="0" xfId="0" applyNumberFormat="1" applyFont="1" applyAlignment="1">
      <alignment vertical="center"/>
    </xf>
    <xf numFmtId="42" fontId="39" fillId="0" borderId="1" xfId="0" applyNumberFormat="1" applyFont="1" applyBorder="1" applyAlignment="1">
      <alignment vertical="center"/>
    </xf>
    <xf numFmtId="170" fontId="38" fillId="5" borderId="1" xfId="3" applyNumberFormat="1" applyFont="1" applyFill="1" applyBorder="1" applyAlignment="1">
      <alignment vertical="center"/>
    </xf>
    <xf numFmtId="0" fontId="42" fillId="0" borderId="7" xfId="0" applyFont="1" applyBorder="1" applyAlignment="1">
      <alignment horizontal="center" vertical="center" wrapText="1"/>
    </xf>
    <xf numFmtId="0" fontId="42" fillId="0" borderId="13" xfId="0" applyFont="1" applyBorder="1" applyAlignment="1">
      <alignment horizontal="center" vertical="center" wrapText="1"/>
    </xf>
    <xf numFmtId="0" fontId="37" fillId="2" borderId="2" xfId="0" applyFont="1" applyFill="1" applyBorder="1" applyAlignment="1">
      <alignment horizontal="center" vertical="center" wrapText="1"/>
    </xf>
    <xf numFmtId="0" fontId="37" fillId="2" borderId="4" xfId="0" applyFont="1" applyFill="1" applyBorder="1" applyAlignment="1">
      <alignment horizontal="center" vertical="center" wrapText="1"/>
    </xf>
    <xf numFmtId="0" fontId="37" fillId="0" borderId="0" xfId="0" applyFont="1" applyAlignment="1">
      <alignment horizontal="center"/>
    </xf>
    <xf numFmtId="0" fontId="37" fillId="2" borderId="3" xfId="0" applyFont="1" applyFill="1" applyBorder="1" applyAlignment="1">
      <alignment horizontal="center" vertical="center" wrapText="1"/>
    </xf>
    <xf numFmtId="0" fontId="37" fillId="2" borderId="5" xfId="0" applyFont="1" applyFill="1" applyBorder="1" applyAlignment="1">
      <alignment horizontal="center" vertical="center"/>
    </xf>
    <xf numFmtId="0" fontId="37" fillId="2" borderId="9" xfId="0" applyFont="1" applyFill="1" applyBorder="1" applyAlignment="1">
      <alignment horizontal="center" vertical="center"/>
    </xf>
    <xf numFmtId="0" fontId="37" fillId="2" borderId="1" xfId="0" applyFont="1" applyFill="1" applyBorder="1" applyAlignment="1">
      <alignment horizontal="center" vertical="center" wrapText="1"/>
    </xf>
    <xf numFmtId="0" fontId="39" fillId="0" borderId="2" xfId="0" applyNumberFormat="1" applyFont="1" applyBorder="1" applyAlignment="1">
      <alignment vertical="center" wrapText="1"/>
    </xf>
    <xf numFmtId="0" fontId="39" fillId="0" borderId="4" xfId="0" applyNumberFormat="1" applyFont="1" applyBorder="1" applyAlignment="1">
      <alignment vertical="center"/>
    </xf>
    <xf numFmtId="0" fontId="39" fillId="0" borderId="3" xfId="0" applyNumberFormat="1" applyFont="1" applyBorder="1" applyAlignment="1">
      <alignment vertical="center"/>
    </xf>
    <xf numFmtId="0" fontId="37" fillId="2" borderId="11" xfId="0" applyFont="1" applyFill="1" applyBorder="1" applyAlignment="1">
      <alignment horizontal="center" vertical="center"/>
    </xf>
    <xf numFmtId="0" fontId="37" fillId="2" borderId="6" xfId="0" applyFont="1" applyFill="1" applyBorder="1" applyAlignment="1">
      <alignment horizontal="center" vertical="center"/>
    </xf>
    <xf numFmtId="0" fontId="37" fillId="2" borderId="10" xfId="0" applyFont="1" applyFill="1" applyBorder="1" applyAlignment="1">
      <alignment horizontal="center" vertical="center"/>
    </xf>
    <xf numFmtId="0" fontId="37" fillId="2" borderId="1" xfId="0" applyFont="1" applyFill="1" applyBorder="1" applyAlignment="1">
      <alignment horizontal="center" vertical="center" textRotation="90" wrapText="1"/>
    </xf>
    <xf numFmtId="0" fontId="36" fillId="2" borderId="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7" fillId="3" borderId="4" xfId="0" applyFont="1" applyFill="1" applyBorder="1" applyAlignment="1">
      <alignment horizontal="center" vertical="center"/>
    </xf>
    <xf numFmtId="0" fontId="37" fillId="3" borderId="3" xfId="0" applyFont="1" applyFill="1" applyBorder="1" applyAlignment="1">
      <alignment horizontal="center" vertical="center"/>
    </xf>
    <xf numFmtId="0" fontId="17" fillId="0" borderId="0" xfId="0" applyFont="1" applyAlignment="1">
      <alignment horizontal="center"/>
    </xf>
    <xf numFmtId="42" fontId="15" fillId="8" borderId="1" xfId="0" applyNumberFormat="1" applyFont="1" applyFill="1" applyBorder="1" applyAlignment="1">
      <alignment horizontal="center" vertical="center" wrapText="1"/>
    </xf>
    <xf numFmtId="42" fontId="15" fillId="7" borderId="1" xfId="0" applyNumberFormat="1" applyFont="1" applyFill="1" applyBorder="1" applyAlignment="1">
      <alignment horizontal="center" vertical="center"/>
    </xf>
    <xf numFmtId="0" fontId="15" fillId="9" borderId="1" xfId="0" applyFont="1" applyFill="1" applyBorder="1" applyAlignment="1">
      <alignment horizontal="center" vertical="center"/>
    </xf>
    <xf numFmtId="0" fontId="13" fillId="0" borderId="2" xfId="0" applyFont="1" applyBorder="1" applyAlignment="1">
      <alignment horizontal="left" vertical="center"/>
    </xf>
    <xf numFmtId="0" fontId="13" fillId="0" borderId="4" xfId="0" applyFont="1" applyBorder="1" applyAlignment="1">
      <alignment horizontal="left" vertical="center"/>
    </xf>
    <xf numFmtId="0" fontId="13" fillId="0" borderId="3" xfId="0" applyFont="1" applyBorder="1" applyAlignment="1">
      <alignment horizontal="left" vertical="center"/>
    </xf>
    <xf numFmtId="0" fontId="18" fillId="0" borderId="0" xfId="0" applyFont="1" applyAlignment="1">
      <alignment horizontal="left" vertical="center"/>
    </xf>
    <xf numFmtId="0" fontId="14" fillId="0" borderId="8" xfId="0" applyFont="1" applyBorder="1" applyAlignment="1">
      <alignment horizontal="left" vertical="center" wrapText="1"/>
    </xf>
    <xf numFmtId="0" fontId="14" fillId="0" borderId="7" xfId="0" applyFont="1" applyBorder="1" applyAlignment="1">
      <alignment horizontal="left" vertical="center" wrapText="1"/>
    </xf>
    <xf numFmtId="0" fontId="14" fillId="0" borderId="13" xfId="0" applyFont="1" applyBorder="1" applyAlignment="1">
      <alignment horizontal="left" vertical="top" wrapText="1"/>
    </xf>
    <xf numFmtId="0" fontId="13" fillId="0" borderId="13" xfId="0" applyFont="1" applyBorder="1" applyAlignment="1">
      <alignment horizontal="left" vertical="top" wrapText="1"/>
    </xf>
    <xf numFmtId="0" fontId="13" fillId="0" borderId="8" xfId="0" applyFont="1" applyBorder="1" applyAlignment="1">
      <alignment horizontal="left" vertical="center" wrapText="1"/>
    </xf>
    <xf numFmtId="0" fontId="13" fillId="0" borderId="6" xfId="0" applyFont="1" applyBorder="1" applyAlignment="1">
      <alignment horizontal="center"/>
    </xf>
    <xf numFmtId="0" fontId="14" fillId="0" borderId="0" xfId="0" applyFont="1" applyAlignment="1">
      <alignment horizontal="center"/>
    </xf>
    <xf numFmtId="0" fontId="14" fillId="0" borderId="0" xfId="0" applyFont="1" applyAlignment="1">
      <alignment horizontal="center" wrapText="1"/>
    </xf>
    <xf numFmtId="0" fontId="5" fillId="0" borderId="0" xfId="0" applyFont="1" applyAlignment="1">
      <alignment horizontal="left" wrapText="1"/>
    </xf>
    <xf numFmtId="0" fontId="21" fillId="2" borderId="2" xfId="0" applyFont="1" applyFill="1" applyBorder="1" applyAlignment="1">
      <alignment horizontal="left" vertical="center"/>
    </xf>
    <xf numFmtId="0" fontId="21" fillId="2" borderId="4" xfId="0" applyFont="1" applyFill="1" applyBorder="1" applyAlignment="1">
      <alignment horizontal="left" vertical="center"/>
    </xf>
    <xf numFmtId="168" fontId="24" fillId="2" borderId="2" xfId="1" applyNumberFormat="1" applyFont="1" applyFill="1" applyBorder="1" applyAlignment="1">
      <alignment horizontal="center" vertical="center"/>
    </xf>
    <xf numFmtId="168" fontId="24" fillId="2" borderId="3" xfId="1" applyNumberFormat="1" applyFont="1" applyFill="1" applyBorder="1" applyAlignment="1">
      <alignment horizontal="center" vertical="center"/>
    </xf>
    <xf numFmtId="0" fontId="12" fillId="0" borderId="1" xfId="0" applyFont="1" applyBorder="1" applyAlignment="1">
      <alignment horizontal="center" vertical="center" textRotation="90"/>
    </xf>
    <xf numFmtId="0" fontId="12" fillId="0" borderId="7" xfId="0" applyFont="1" applyBorder="1" applyAlignment="1">
      <alignment horizontal="center" vertical="center" textRotation="90"/>
    </xf>
    <xf numFmtId="0" fontId="11" fillId="0" borderId="1" xfId="0" applyFont="1" applyBorder="1" applyAlignment="1">
      <alignment horizontal="center" vertical="center" wrapText="1"/>
    </xf>
    <xf numFmtId="0" fontId="12" fillId="0" borderId="7" xfId="0" applyFont="1" applyBorder="1" applyAlignment="1">
      <alignment horizontal="center" vertical="center" textRotation="90" wrapText="1"/>
    </xf>
    <xf numFmtId="0" fontId="12" fillId="0" borderId="13" xfId="0" applyFont="1" applyBorder="1" applyAlignment="1">
      <alignment horizontal="center" vertical="center" textRotation="90" wrapText="1"/>
    </xf>
    <xf numFmtId="0" fontId="12" fillId="0" borderId="8" xfId="0" applyFont="1" applyBorder="1" applyAlignment="1">
      <alignment horizontal="center" vertical="center" textRotation="90" wrapText="1"/>
    </xf>
    <xf numFmtId="0" fontId="6" fillId="0" borderId="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xf>
    <xf numFmtId="0" fontId="20" fillId="0" borderId="4" xfId="0" applyFont="1" applyBorder="1" applyAlignment="1">
      <alignment horizontal="center" vertical="center" wrapText="1"/>
    </xf>
    <xf numFmtId="0" fontId="20" fillId="0" borderId="1" xfId="0" applyFont="1" applyBorder="1" applyAlignment="1">
      <alignment horizontal="center" vertical="center"/>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168" fontId="21" fillId="3" borderId="0" xfId="1" applyNumberFormat="1" applyFont="1" applyFill="1" applyBorder="1" applyAlignment="1">
      <alignment horizontal="center" vertical="center"/>
    </xf>
    <xf numFmtId="0" fontId="15" fillId="2" borderId="2" xfId="0" applyFont="1" applyFill="1" applyBorder="1" applyAlignment="1">
      <alignment horizontal="center" vertical="center" wrapText="1" shrinkToFit="1"/>
    </xf>
    <xf numFmtId="0" fontId="15" fillId="2" borderId="4" xfId="0" applyFont="1" applyFill="1" applyBorder="1" applyAlignment="1">
      <alignment horizontal="center" vertical="center" wrapText="1" shrinkToFit="1"/>
    </xf>
    <xf numFmtId="0" fontId="15" fillId="2" borderId="3" xfId="0" applyFont="1" applyFill="1" applyBorder="1" applyAlignment="1">
      <alignment horizontal="center" vertical="center" wrapText="1" shrinkToFi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textRotation="90" wrapText="1"/>
    </xf>
    <xf numFmtId="0" fontId="15" fillId="2" borderId="7" xfId="0" applyFont="1" applyFill="1" applyBorder="1" applyAlignment="1">
      <alignment horizontal="center" vertical="center" textRotation="90" wrapText="1"/>
    </xf>
    <xf numFmtId="0" fontId="15" fillId="2" borderId="13" xfId="0" applyFont="1" applyFill="1" applyBorder="1" applyAlignment="1">
      <alignment horizontal="center" vertical="center" textRotation="90" wrapText="1"/>
    </xf>
    <xf numFmtId="0" fontId="15" fillId="2" borderId="8" xfId="0" applyFont="1" applyFill="1" applyBorder="1" applyAlignment="1">
      <alignment horizontal="center" vertical="center" textRotation="90" wrapText="1"/>
    </xf>
    <xf numFmtId="168" fontId="12" fillId="2" borderId="1" xfId="1" applyNumberFormat="1" applyFont="1" applyFill="1" applyBorder="1" applyAlignment="1">
      <alignment horizontal="center" vertical="center" wrapText="1"/>
    </xf>
    <xf numFmtId="165" fontId="24" fillId="3" borderId="1" xfId="2" applyNumberFormat="1" applyFont="1" applyFill="1" applyBorder="1" applyAlignment="1">
      <alignment horizontal="center" vertical="center"/>
    </xf>
    <xf numFmtId="168" fontId="24" fillId="3" borderId="0" xfId="1" applyNumberFormat="1" applyFont="1" applyFill="1" applyBorder="1" applyAlignment="1">
      <alignment horizontal="center" vertic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165" fontId="13" fillId="0" borderId="2" xfId="0" applyNumberFormat="1" applyFont="1" applyBorder="1" applyAlignment="1">
      <alignment horizontal="left" vertical="center"/>
    </xf>
    <xf numFmtId="165" fontId="13" fillId="0" borderId="4" xfId="0" applyNumberFormat="1" applyFont="1" applyBorder="1" applyAlignment="1">
      <alignment horizontal="left" vertical="center"/>
    </xf>
    <xf numFmtId="0" fontId="13" fillId="0" borderId="1" xfId="0" applyFont="1" applyBorder="1" applyAlignment="1">
      <alignment horizontal="center" vertical="center" wrapText="1"/>
    </xf>
    <xf numFmtId="0" fontId="15" fillId="2" borderId="11"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1" xfId="0" applyFont="1" applyFill="1" applyBorder="1" applyAlignment="1">
      <alignment horizontal="center" vertical="center" wrapText="1" shrinkToFit="1"/>
    </xf>
    <xf numFmtId="0" fontId="15" fillId="2" borderId="2"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169" fontId="15" fillId="2" borderId="10" xfId="0" applyNumberFormat="1" applyFont="1" applyFill="1" applyBorder="1" applyAlignment="1">
      <alignment horizontal="center" vertical="center"/>
    </xf>
    <xf numFmtId="169" fontId="15" fillId="2" borderId="5" xfId="0" applyNumberFormat="1" applyFont="1" applyFill="1" applyBorder="1" applyAlignment="1">
      <alignment horizontal="center" vertical="center"/>
    </xf>
    <xf numFmtId="169" fontId="15" fillId="2" borderId="9" xfId="0" applyNumberFormat="1" applyFont="1" applyFill="1" applyBorder="1" applyAlignment="1">
      <alignment horizontal="center" vertical="center"/>
    </xf>
    <xf numFmtId="0" fontId="12" fillId="0" borderId="1" xfId="0" applyFont="1" applyBorder="1" applyAlignment="1">
      <alignment horizontal="center" vertical="center" textRotation="90" wrapText="1"/>
    </xf>
    <xf numFmtId="0" fontId="27" fillId="2" borderId="19" xfId="0" applyFont="1" applyFill="1" applyBorder="1" applyAlignment="1">
      <alignment horizontal="center" vertical="center" wrapText="1"/>
    </xf>
    <xf numFmtId="0" fontId="27" fillId="2" borderId="20" xfId="0" applyFont="1" applyFill="1" applyBorder="1" applyAlignment="1">
      <alignment horizontal="center" vertical="center" wrapTex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42" fontId="15" fillId="6"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0" fontId="29" fillId="0" borderId="2"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3" xfId="0" applyFont="1" applyBorder="1" applyAlignment="1">
      <alignment horizontal="center" vertical="center" wrapText="1"/>
    </xf>
    <xf numFmtId="168" fontId="11" fillId="3" borderId="1" xfId="1" applyNumberFormat="1"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168" fontId="24" fillId="3" borderId="1" xfId="1" applyNumberFormat="1" applyFont="1" applyFill="1" applyBorder="1" applyAlignment="1">
      <alignment horizontal="center" vertical="center"/>
    </xf>
    <xf numFmtId="167" fontId="34" fillId="3" borderId="0" xfId="6" applyNumberFormat="1" applyFont="1" applyFill="1" applyBorder="1" applyAlignment="1">
      <alignment horizontal="center" vertical="center"/>
    </xf>
    <xf numFmtId="167" fontId="12" fillId="2" borderId="2" xfId="1" applyNumberFormat="1" applyFont="1" applyFill="1" applyBorder="1" applyAlignment="1">
      <alignment horizontal="center" vertical="center"/>
    </xf>
    <xf numFmtId="167" fontId="12" fillId="2" borderId="3" xfId="1" applyNumberFormat="1" applyFont="1" applyFill="1" applyBorder="1" applyAlignment="1">
      <alignment horizontal="center" vertical="center"/>
    </xf>
    <xf numFmtId="167" fontId="31" fillId="0" borderId="1" xfId="1" applyNumberFormat="1" applyFont="1" applyBorder="1" applyAlignment="1">
      <alignment horizontal="center" vertical="center"/>
    </xf>
    <xf numFmtId="167" fontId="16" fillId="0" borderId="1" xfId="1" applyNumberFormat="1" applyFont="1" applyBorder="1" applyAlignment="1">
      <alignment horizontal="center" vertical="center"/>
    </xf>
    <xf numFmtId="167" fontId="31" fillId="0" borderId="2" xfId="1" applyNumberFormat="1" applyFont="1" applyBorder="1" applyAlignment="1">
      <alignment horizontal="center" vertical="center"/>
    </xf>
    <xf numFmtId="167" fontId="31" fillId="0" borderId="3" xfId="1" applyNumberFormat="1" applyFont="1" applyBorder="1" applyAlignment="1">
      <alignment horizontal="center" vertical="center"/>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3" xfId="0" applyFont="1" applyFill="1" applyBorder="1" applyAlignment="1">
      <alignment horizontal="center" vertical="center" wrapText="1"/>
    </xf>
    <xf numFmtId="42" fontId="13" fillId="2" borderId="1" xfId="0" applyNumberFormat="1" applyFont="1" applyFill="1" applyBorder="1" applyAlignment="1">
      <alignment horizontal="center" vertical="center" wrapText="1"/>
    </xf>
    <xf numFmtId="167" fontId="16" fillId="2" borderId="1" xfId="1" applyNumberFormat="1" applyFont="1" applyFill="1" applyBorder="1" applyAlignment="1">
      <alignment horizontal="center" vertical="center" wrapText="1"/>
    </xf>
    <xf numFmtId="166" fontId="13" fillId="2" borderId="4" xfId="6" applyNumberFormat="1" applyFont="1" applyFill="1" applyBorder="1" applyAlignment="1">
      <alignment horizontal="center" vertical="center"/>
    </xf>
    <xf numFmtId="166" fontId="13" fillId="2" borderId="3" xfId="6" applyNumberFormat="1" applyFont="1" applyFill="1" applyBorder="1" applyAlignment="1">
      <alignment horizontal="center" vertical="center"/>
    </xf>
    <xf numFmtId="165" fontId="13" fillId="2" borderId="2" xfId="2" applyNumberFormat="1" applyFont="1" applyFill="1" applyBorder="1" applyAlignment="1">
      <alignment horizontal="center" vertical="center"/>
    </xf>
    <xf numFmtId="165" fontId="13" fillId="2" borderId="4" xfId="2" applyNumberFormat="1" applyFont="1" applyFill="1" applyBorder="1" applyAlignment="1">
      <alignment horizontal="center" vertical="center"/>
    </xf>
    <xf numFmtId="165" fontId="13" fillId="2" borderId="3" xfId="2" applyNumberFormat="1" applyFont="1" applyFill="1" applyBorder="1" applyAlignment="1">
      <alignment horizontal="center" vertical="center"/>
    </xf>
  </cellXfs>
  <cellStyles count="10">
    <cellStyle name="Millares" xfId="1" builtinId="3"/>
    <cellStyle name="Moneda" xfId="2" builtinId="4"/>
    <cellStyle name="Moneda [0]" xfId="3" builtinId="7"/>
    <cellStyle name="Moneda [0] 2" xfId="5" xr:uid="{00000000-0005-0000-0000-000003000000}"/>
    <cellStyle name="Moneda 2" xfId="6" xr:uid="{00000000-0005-0000-0000-000004000000}"/>
    <cellStyle name="Normal" xfId="0" builtinId="0"/>
    <cellStyle name="Normal 2" xfId="4" xr:uid="{00000000-0005-0000-0000-000006000000}"/>
    <cellStyle name="Normal 2 4" xfId="9" xr:uid="{D7910695-16AA-43F6-B219-E44A45D4C708}"/>
    <cellStyle name="Normal 3" xfId="8" xr:uid="{6109FDF3-FB78-437B-8C3B-6B14044A74BE}"/>
    <cellStyle name="Porcentaje" xfId="7" builtinId="5"/>
  </cellStyles>
  <dxfs count="11">
    <dxf>
      <fill>
        <patternFill>
          <bgColor theme="8" tint="0.39994506668294322"/>
        </patternFill>
      </fill>
    </dxf>
    <dxf>
      <fill>
        <patternFill>
          <bgColor theme="5" tint="-0.24994659260841701"/>
        </patternFill>
      </fill>
    </dxf>
    <dxf>
      <fill>
        <patternFill>
          <bgColor theme="6" tint="0.39994506668294322"/>
        </patternFill>
      </fill>
    </dxf>
    <dxf>
      <fill>
        <patternFill>
          <bgColor rgb="FF0070C0"/>
        </patternFill>
      </fill>
    </dxf>
    <dxf>
      <fill>
        <patternFill>
          <bgColor rgb="FF0070C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s>
  <tableStyles count="0" defaultTableStyle="TableStyleMedium9" defaultPivotStyle="PivotStyleLight16"/>
  <colors>
    <mruColors>
      <color rgb="FFFFFFCC"/>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14" Type="http://schemas.microsoft.com/office/2022/10/relationships/richValueRel" Target="richData/richValueRel.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424543</xdr:colOff>
      <xdr:row>0</xdr:row>
      <xdr:rowOff>6803</xdr:rowOff>
    </xdr:from>
    <xdr:to>
      <xdr:col>2</xdr:col>
      <xdr:colOff>437861</xdr:colOff>
      <xdr:row>3</xdr:row>
      <xdr:rowOff>7205</xdr:rowOff>
    </xdr:to>
    <xdr:pic>
      <xdr:nvPicPr>
        <xdr:cNvPr id="2" name="4 Imagen" descr="C:\Users\adriana.luque\Downloads\LOGO NUEVO + ALCALDIA 2-01.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srcRect t="9674" r="56010" b="9726"/>
        <a:stretch>
          <a:fillRect/>
        </a:stretch>
      </xdr:blipFill>
      <xdr:spPr bwMode="auto">
        <a:xfrm>
          <a:off x="424543" y="6803"/>
          <a:ext cx="993032" cy="912081"/>
        </a:xfrm>
        <a:prstGeom prst="rect">
          <a:avLst/>
        </a:prstGeom>
        <a:noFill/>
        <a:ln w="9525">
          <a:noFill/>
          <a:miter lim="800000"/>
          <a:headEnd/>
          <a:tailEnd/>
        </a:ln>
      </xdr:spPr>
    </xdr:pic>
    <xdr:clientData/>
  </xdr:twoCellAnchor>
  <xdr:twoCellAnchor editAs="oneCell">
    <xdr:from>
      <xdr:col>30</xdr:col>
      <xdr:colOff>314325</xdr:colOff>
      <xdr:row>0</xdr:row>
      <xdr:rowOff>0</xdr:rowOff>
    </xdr:from>
    <xdr:to>
      <xdr:col>31</xdr:col>
      <xdr:colOff>437861</xdr:colOff>
      <xdr:row>2</xdr:row>
      <xdr:rowOff>308713</xdr:rowOff>
    </xdr:to>
    <xdr:pic>
      <xdr:nvPicPr>
        <xdr:cNvPr id="3" name="5 Imagen" descr="C:\Users\adriana.luque\Downloads\LOGO NUEVO + ALCALDIA 2-01.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srcRect l="53850" t="7025" b="10076"/>
        <a:stretch>
          <a:fillRect/>
        </a:stretch>
      </xdr:blipFill>
      <xdr:spPr bwMode="auto">
        <a:xfrm>
          <a:off x="19840575" y="0"/>
          <a:ext cx="1009361" cy="899263"/>
        </a:xfrm>
        <a:prstGeom prst="rect">
          <a:avLst/>
        </a:prstGeom>
        <a:noFill/>
        <a:ln w="9525">
          <a:noFill/>
          <a:miter lim="800000"/>
          <a:headEnd/>
          <a:tailEnd/>
        </a:ln>
      </xdr:spPr>
    </xdr:pic>
    <xdr:clientData/>
  </xdr:twoCellAnchor>
  <xdr:twoCellAnchor editAs="oneCell">
    <xdr:from>
      <xdr:col>4</xdr:col>
      <xdr:colOff>87164</xdr:colOff>
      <xdr:row>10</xdr:row>
      <xdr:rowOff>136070</xdr:rowOff>
    </xdr:from>
    <xdr:to>
      <xdr:col>4</xdr:col>
      <xdr:colOff>1909761</xdr:colOff>
      <xdr:row>10</xdr:row>
      <xdr:rowOff>1190625</xdr:rowOff>
    </xdr:to>
    <xdr:pic>
      <xdr:nvPicPr>
        <xdr:cNvPr id="15" name="Imagen 14">
          <a:extLst>
            <a:ext uri="{FF2B5EF4-FFF2-40B4-BE49-F238E27FC236}">
              <a16:creationId xmlns:a16="http://schemas.microsoft.com/office/drawing/2014/main" id="{080932F1-BCDC-4D2B-A92B-E13B94480928}"/>
            </a:ext>
          </a:extLst>
        </xdr:cNvPr>
        <xdr:cNvPicPr>
          <a:picLocks noChangeAspect="1"/>
        </xdr:cNvPicPr>
      </xdr:nvPicPr>
      <xdr:blipFill rotWithShape="1">
        <a:blip xmlns:r="http://schemas.openxmlformats.org/officeDocument/2006/relationships" r:embed="rId3"/>
        <a:srcRect t="5066"/>
        <a:stretch/>
      </xdr:blipFill>
      <xdr:spPr>
        <a:xfrm>
          <a:off x="2058839" y="4784270"/>
          <a:ext cx="1822597" cy="1054555"/>
        </a:xfrm>
        <a:prstGeom prst="rect">
          <a:avLst/>
        </a:prstGeom>
      </xdr:spPr>
    </xdr:pic>
    <xdr:clientData/>
  </xdr:twoCellAnchor>
  <xdr:twoCellAnchor editAs="oneCell">
    <xdr:from>
      <xdr:col>4</xdr:col>
      <xdr:colOff>49625</xdr:colOff>
      <xdr:row>11</xdr:row>
      <xdr:rowOff>116622</xdr:rowOff>
    </xdr:from>
    <xdr:to>
      <xdr:col>4</xdr:col>
      <xdr:colOff>1869281</xdr:colOff>
      <xdr:row>11</xdr:row>
      <xdr:rowOff>1266825</xdr:rowOff>
    </xdr:to>
    <xdr:pic>
      <xdr:nvPicPr>
        <xdr:cNvPr id="16" name="Imagen 15">
          <a:extLst>
            <a:ext uri="{FF2B5EF4-FFF2-40B4-BE49-F238E27FC236}">
              <a16:creationId xmlns:a16="http://schemas.microsoft.com/office/drawing/2014/main" id="{30FDAFD7-98B8-4273-8E0D-FD814E2DB63C}"/>
            </a:ext>
          </a:extLst>
        </xdr:cNvPr>
        <xdr:cNvPicPr>
          <a:picLocks noChangeAspect="1"/>
        </xdr:cNvPicPr>
      </xdr:nvPicPr>
      <xdr:blipFill>
        <a:blip xmlns:r="http://schemas.openxmlformats.org/officeDocument/2006/relationships" r:embed="rId4"/>
        <a:stretch>
          <a:fillRect/>
        </a:stretch>
      </xdr:blipFill>
      <xdr:spPr>
        <a:xfrm>
          <a:off x="2021300" y="6079272"/>
          <a:ext cx="1819656" cy="1150203"/>
        </a:xfrm>
        <a:prstGeom prst="rect">
          <a:avLst/>
        </a:prstGeom>
      </xdr:spPr>
    </xdr:pic>
    <xdr:clientData/>
  </xdr:twoCellAnchor>
  <xdr:twoCellAnchor editAs="oneCell">
    <xdr:from>
      <xdr:col>4</xdr:col>
      <xdr:colOff>41820</xdr:colOff>
      <xdr:row>14</xdr:row>
      <xdr:rowOff>88345</xdr:rowOff>
    </xdr:from>
    <xdr:to>
      <xdr:col>4</xdr:col>
      <xdr:colOff>1845467</xdr:colOff>
      <xdr:row>14</xdr:row>
      <xdr:rowOff>1219200</xdr:rowOff>
    </xdr:to>
    <xdr:pic>
      <xdr:nvPicPr>
        <xdr:cNvPr id="17" name="Imagen 16">
          <a:extLst>
            <a:ext uri="{FF2B5EF4-FFF2-40B4-BE49-F238E27FC236}">
              <a16:creationId xmlns:a16="http://schemas.microsoft.com/office/drawing/2014/main" id="{F48648BA-566C-4809-985D-27F540547700}"/>
            </a:ext>
          </a:extLst>
        </xdr:cNvPr>
        <xdr:cNvPicPr>
          <a:picLocks noChangeAspect="1"/>
        </xdr:cNvPicPr>
      </xdr:nvPicPr>
      <xdr:blipFill>
        <a:blip xmlns:r="http://schemas.openxmlformats.org/officeDocument/2006/relationships" r:embed="rId5"/>
        <a:stretch>
          <a:fillRect/>
        </a:stretch>
      </xdr:blipFill>
      <xdr:spPr>
        <a:xfrm>
          <a:off x="2013495" y="9994345"/>
          <a:ext cx="1803647" cy="1130855"/>
        </a:xfrm>
        <a:prstGeom prst="rect">
          <a:avLst/>
        </a:prstGeom>
      </xdr:spPr>
    </xdr:pic>
    <xdr:clientData/>
  </xdr:twoCellAnchor>
  <xdr:twoCellAnchor editAs="oneCell">
    <xdr:from>
      <xdr:col>4</xdr:col>
      <xdr:colOff>47545</xdr:colOff>
      <xdr:row>15</xdr:row>
      <xdr:rowOff>44322</xdr:rowOff>
    </xdr:from>
    <xdr:to>
      <xdr:col>4</xdr:col>
      <xdr:colOff>1829811</xdr:colOff>
      <xdr:row>15</xdr:row>
      <xdr:rowOff>1209675</xdr:rowOff>
    </xdr:to>
    <xdr:pic>
      <xdr:nvPicPr>
        <xdr:cNvPr id="18" name="Imagen 17">
          <a:extLst>
            <a:ext uri="{FF2B5EF4-FFF2-40B4-BE49-F238E27FC236}">
              <a16:creationId xmlns:a16="http://schemas.microsoft.com/office/drawing/2014/main" id="{568D0293-EC96-4F61-A870-917143F4D275}"/>
            </a:ext>
          </a:extLst>
        </xdr:cNvPr>
        <xdr:cNvPicPr>
          <a:picLocks noChangeAspect="1"/>
        </xdr:cNvPicPr>
      </xdr:nvPicPr>
      <xdr:blipFill>
        <a:blip xmlns:r="http://schemas.openxmlformats.org/officeDocument/2006/relationships" r:embed="rId5"/>
        <a:stretch>
          <a:fillRect/>
        </a:stretch>
      </xdr:blipFill>
      <xdr:spPr>
        <a:xfrm>
          <a:off x="2019220" y="11264772"/>
          <a:ext cx="1782266" cy="1165353"/>
        </a:xfrm>
        <a:prstGeom prst="rect">
          <a:avLst/>
        </a:prstGeom>
      </xdr:spPr>
    </xdr:pic>
    <xdr:clientData/>
  </xdr:twoCellAnchor>
  <xdr:twoCellAnchor editAs="oneCell">
    <xdr:from>
      <xdr:col>4</xdr:col>
      <xdr:colOff>43523</xdr:colOff>
      <xdr:row>16</xdr:row>
      <xdr:rowOff>93649</xdr:rowOff>
    </xdr:from>
    <xdr:to>
      <xdr:col>4</xdr:col>
      <xdr:colOff>1842229</xdr:colOff>
      <xdr:row>16</xdr:row>
      <xdr:rowOff>1219200</xdr:rowOff>
    </xdr:to>
    <xdr:pic>
      <xdr:nvPicPr>
        <xdr:cNvPr id="19" name="Imagen 18">
          <a:extLst>
            <a:ext uri="{FF2B5EF4-FFF2-40B4-BE49-F238E27FC236}">
              <a16:creationId xmlns:a16="http://schemas.microsoft.com/office/drawing/2014/main" id="{4F215AA9-B0E3-48A9-8EF8-D42D42D02F23}"/>
            </a:ext>
          </a:extLst>
        </xdr:cNvPr>
        <xdr:cNvPicPr>
          <a:picLocks noChangeAspect="1"/>
        </xdr:cNvPicPr>
      </xdr:nvPicPr>
      <xdr:blipFill>
        <a:blip xmlns:r="http://schemas.openxmlformats.org/officeDocument/2006/relationships" r:embed="rId6"/>
        <a:stretch>
          <a:fillRect/>
        </a:stretch>
      </xdr:blipFill>
      <xdr:spPr>
        <a:xfrm>
          <a:off x="2015198" y="12628549"/>
          <a:ext cx="1798706" cy="1125551"/>
        </a:xfrm>
        <a:prstGeom prst="rect">
          <a:avLst/>
        </a:prstGeom>
      </xdr:spPr>
    </xdr:pic>
    <xdr:clientData/>
  </xdr:twoCellAnchor>
  <xdr:twoCellAnchor editAs="oneCell">
    <xdr:from>
      <xdr:col>4</xdr:col>
      <xdr:colOff>73340</xdr:colOff>
      <xdr:row>17</xdr:row>
      <xdr:rowOff>76161</xdr:rowOff>
    </xdr:from>
    <xdr:to>
      <xdr:col>4</xdr:col>
      <xdr:colOff>1911468</xdr:colOff>
      <xdr:row>17</xdr:row>
      <xdr:rowOff>1200151</xdr:rowOff>
    </xdr:to>
    <xdr:pic>
      <xdr:nvPicPr>
        <xdr:cNvPr id="20" name="Imagen 19">
          <a:extLst>
            <a:ext uri="{FF2B5EF4-FFF2-40B4-BE49-F238E27FC236}">
              <a16:creationId xmlns:a16="http://schemas.microsoft.com/office/drawing/2014/main" id="{55437BAF-6C38-4974-AF5A-C25675AE471C}"/>
            </a:ext>
          </a:extLst>
        </xdr:cNvPr>
        <xdr:cNvPicPr>
          <a:picLocks noChangeAspect="1"/>
        </xdr:cNvPicPr>
      </xdr:nvPicPr>
      <xdr:blipFill>
        <a:blip xmlns:r="http://schemas.openxmlformats.org/officeDocument/2006/relationships" r:embed="rId6"/>
        <a:stretch>
          <a:fillRect/>
        </a:stretch>
      </xdr:blipFill>
      <xdr:spPr>
        <a:xfrm>
          <a:off x="2045015" y="13925511"/>
          <a:ext cx="1838128" cy="1123990"/>
        </a:xfrm>
        <a:prstGeom prst="rect">
          <a:avLst/>
        </a:prstGeom>
      </xdr:spPr>
    </xdr:pic>
    <xdr:clientData/>
  </xdr:twoCellAnchor>
  <xdr:twoCellAnchor editAs="oneCell">
    <xdr:from>
      <xdr:col>4</xdr:col>
      <xdr:colOff>87645</xdr:colOff>
      <xdr:row>18</xdr:row>
      <xdr:rowOff>138233</xdr:rowOff>
    </xdr:from>
    <xdr:to>
      <xdr:col>4</xdr:col>
      <xdr:colOff>1893093</xdr:colOff>
      <xdr:row>18</xdr:row>
      <xdr:rowOff>1228725</xdr:rowOff>
    </xdr:to>
    <xdr:pic>
      <xdr:nvPicPr>
        <xdr:cNvPr id="21" name="Imagen 20">
          <a:extLst>
            <a:ext uri="{FF2B5EF4-FFF2-40B4-BE49-F238E27FC236}">
              <a16:creationId xmlns:a16="http://schemas.microsoft.com/office/drawing/2014/main" id="{EA5D5356-70FA-49C8-8656-A1E75735C554}"/>
            </a:ext>
          </a:extLst>
        </xdr:cNvPr>
        <xdr:cNvPicPr>
          <a:picLocks noChangeAspect="1"/>
        </xdr:cNvPicPr>
      </xdr:nvPicPr>
      <xdr:blipFill>
        <a:blip xmlns:r="http://schemas.openxmlformats.org/officeDocument/2006/relationships" r:embed="rId7"/>
        <a:stretch>
          <a:fillRect/>
        </a:stretch>
      </xdr:blipFill>
      <xdr:spPr>
        <a:xfrm>
          <a:off x="2059320" y="15302033"/>
          <a:ext cx="1805448" cy="1090492"/>
        </a:xfrm>
        <a:prstGeom prst="rect">
          <a:avLst/>
        </a:prstGeom>
      </xdr:spPr>
    </xdr:pic>
    <xdr:clientData/>
  </xdr:twoCellAnchor>
  <xdr:twoCellAnchor editAs="oneCell">
    <xdr:from>
      <xdr:col>4</xdr:col>
      <xdr:colOff>85965</xdr:colOff>
      <xdr:row>20</xdr:row>
      <xdr:rowOff>35941</xdr:rowOff>
    </xdr:from>
    <xdr:to>
      <xdr:col>4</xdr:col>
      <xdr:colOff>1857374</xdr:colOff>
      <xdr:row>20</xdr:row>
      <xdr:rowOff>1266825</xdr:rowOff>
    </xdr:to>
    <xdr:pic>
      <xdr:nvPicPr>
        <xdr:cNvPr id="22" name="Imagen 21">
          <a:extLst>
            <a:ext uri="{FF2B5EF4-FFF2-40B4-BE49-F238E27FC236}">
              <a16:creationId xmlns:a16="http://schemas.microsoft.com/office/drawing/2014/main" id="{73299B2F-2F14-46A3-889C-0E4DA02DEC75}"/>
            </a:ext>
          </a:extLst>
        </xdr:cNvPr>
        <xdr:cNvPicPr>
          <a:picLocks noChangeAspect="1"/>
        </xdr:cNvPicPr>
      </xdr:nvPicPr>
      <xdr:blipFill>
        <a:blip xmlns:r="http://schemas.openxmlformats.org/officeDocument/2006/relationships" r:embed="rId8"/>
        <a:stretch>
          <a:fillRect/>
        </a:stretch>
      </xdr:blipFill>
      <xdr:spPr>
        <a:xfrm>
          <a:off x="2057640" y="17828641"/>
          <a:ext cx="1771409" cy="1230884"/>
        </a:xfrm>
        <a:prstGeom prst="rect">
          <a:avLst/>
        </a:prstGeom>
      </xdr:spPr>
    </xdr:pic>
    <xdr:clientData/>
  </xdr:twoCellAnchor>
  <xdr:twoCellAnchor editAs="oneCell">
    <xdr:from>
      <xdr:col>4</xdr:col>
      <xdr:colOff>68054</xdr:colOff>
      <xdr:row>21</xdr:row>
      <xdr:rowOff>53428</xdr:rowOff>
    </xdr:from>
    <xdr:to>
      <xdr:col>4</xdr:col>
      <xdr:colOff>1845468</xdr:colOff>
      <xdr:row>21</xdr:row>
      <xdr:rowOff>1228725</xdr:rowOff>
    </xdr:to>
    <xdr:pic>
      <xdr:nvPicPr>
        <xdr:cNvPr id="23" name="Imagen 22">
          <a:extLst>
            <a:ext uri="{FF2B5EF4-FFF2-40B4-BE49-F238E27FC236}">
              <a16:creationId xmlns:a16="http://schemas.microsoft.com/office/drawing/2014/main" id="{78524BEA-4613-405F-AA71-96B57FBB6F48}"/>
            </a:ext>
          </a:extLst>
        </xdr:cNvPr>
        <xdr:cNvPicPr>
          <a:picLocks noChangeAspect="1"/>
        </xdr:cNvPicPr>
      </xdr:nvPicPr>
      <xdr:blipFill>
        <a:blip xmlns:r="http://schemas.openxmlformats.org/officeDocument/2006/relationships" r:embed="rId9"/>
        <a:stretch>
          <a:fillRect/>
        </a:stretch>
      </xdr:blipFill>
      <xdr:spPr>
        <a:xfrm>
          <a:off x="2039729" y="19160578"/>
          <a:ext cx="1777414" cy="1175297"/>
        </a:xfrm>
        <a:prstGeom prst="rect">
          <a:avLst/>
        </a:prstGeom>
      </xdr:spPr>
    </xdr:pic>
    <xdr:clientData/>
  </xdr:twoCellAnchor>
  <xdr:twoCellAnchor editAs="oneCell">
    <xdr:from>
      <xdr:col>4</xdr:col>
      <xdr:colOff>27214</xdr:colOff>
      <xdr:row>12</xdr:row>
      <xdr:rowOff>95248</xdr:rowOff>
    </xdr:from>
    <xdr:to>
      <xdr:col>4</xdr:col>
      <xdr:colOff>1887322</xdr:colOff>
      <xdr:row>12</xdr:row>
      <xdr:rowOff>1219200</xdr:rowOff>
    </xdr:to>
    <xdr:pic>
      <xdr:nvPicPr>
        <xdr:cNvPr id="24" name="Imagen 23">
          <a:extLst>
            <a:ext uri="{FF2B5EF4-FFF2-40B4-BE49-F238E27FC236}">
              <a16:creationId xmlns:a16="http://schemas.microsoft.com/office/drawing/2014/main" id="{24B605C4-36F4-451A-A94E-1399A91264AA}"/>
            </a:ext>
          </a:extLst>
        </xdr:cNvPr>
        <xdr:cNvPicPr>
          <a:picLocks noChangeAspect="1"/>
        </xdr:cNvPicPr>
      </xdr:nvPicPr>
      <xdr:blipFill>
        <a:blip xmlns:r="http://schemas.openxmlformats.org/officeDocument/2006/relationships" r:embed="rId10"/>
        <a:stretch>
          <a:fillRect/>
        </a:stretch>
      </xdr:blipFill>
      <xdr:spPr>
        <a:xfrm>
          <a:off x="1998889" y="7372348"/>
          <a:ext cx="1860108" cy="1123952"/>
        </a:xfrm>
        <a:prstGeom prst="rect">
          <a:avLst/>
        </a:prstGeom>
      </xdr:spPr>
    </xdr:pic>
    <xdr:clientData/>
  </xdr:twoCellAnchor>
  <xdr:twoCellAnchor editAs="oneCell">
    <xdr:from>
      <xdr:col>4</xdr:col>
      <xdr:colOff>71438</xdr:colOff>
      <xdr:row>19</xdr:row>
      <xdr:rowOff>95250</xdr:rowOff>
    </xdr:from>
    <xdr:to>
      <xdr:col>4</xdr:col>
      <xdr:colOff>1869281</xdr:colOff>
      <xdr:row>19</xdr:row>
      <xdr:rowOff>1190625</xdr:rowOff>
    </xdr:to>
    <xdr:pic>
      <xdr:nvPicPr>
        <xdr:cNvPr id="25" name="Imagen 24">
          <a:extLst>
            <a:ext uri="{FF2B5EF4-FFF2-40B4-BE49-F238E27FC236}">
              <a16:creationId xmlns:a16="http://schemas.microsoft.com/office/drawing/2014/main" id="{210D8005-DA75-4601-9839-769EA166C2FA}"/>
            </a:ext>
          </a:extLst>
        </xdr:cNvPr>
        <xdr:cNvPicPr>
          <a:picLocks noChangeAspect="1"/>
        </xdr:cNvPicPr>
      </xdr:nvPicPr>
      <xdr:blipFill>
        <a:blip xmlns:r="http://schemas.openxmlformats.org/officeDocument/2006/relationships" r:embed="rId11"/>
        <a:stretch>
          <a:fillRect/>
        </a:stretch>
      </xdr:blipFill>
      <xdr:spPr>
        <a:xfrm>
          <a:off x="2043113" y="16573500"/>
          <a:ext cx="1797843" cy="1095375"/>
        </a:xfrm>
        <a:prstGeom prst="rect">
          <a:avLst/>
        </a:prstGeom>
      </xdr:spPr>
    </xdr:pic>
    <xdr:clientData/>
  </xdr:twoCellAnchor>
  <xdr:twoCellAnchor editAs="oneCell">
    <xdr:from>
      <xdr:col>4</xdr:col>
      <xdr:colOff>59531</xdr:colOff>
      <xdr:row>13</xdr:row>
      <xdr:rowOff>95250</xdr:rowOff>
    </xdr:from>
    <xdr:to>
      <xdr:col>4</xdr:col>
      <xdr:colOff>1865745</xdr:colOff>
      <xdr:row>13</xdr:row>
      <xdr:rowOff>1228726</xdr:rowOff>
    </xdr:to>
    <xdr:pic>
      <xdr:nvPicPr>
        <xdr:cNvPr id="26" name="Imagen 25">
          <a:extLst>
            <a:ext uri="{FF2B5EF4-FFF2-40B4-BE49-F238E27FC236}">
              <a16:creationId xmlns:a16="http://schemas.microsoft.com/office/drawing/2014/main" id="{5076E05E-E266-4E93-BE97-2AC5E3C36412}"/>
            </a:ext>
          </a:extLst>
        </xdr:cNvPr>
        <xdr:cNvPicPr>
          <a:picLocks noChangeAspect="1"/>
        </xdr:cNvPicPr>
      </xdr:nvPicPr>
      <xdr:blipFill>
        <a:blip xmlns:r="http://schemas.openxmlformats.org/officeDocument/2006/relationships" r:embed="rId12"/>
        <a:stretch>
          <a:fillRect/>
        </a:stretch>
      </xdr:blipFill>
      <xdr:spPr>
        <a:xfrm>
          <a:off x="2031206" y="8686800"/>
          <a:ext cx="1806214" cy="1133476"/>
        </a:xfrm>
        <a:prstGeom prst="rect">
          <a:avLst/>
        </a:prstGeom>
      </xdr:spPr>
    </xdr:pic>
    <xdr:clientData/>
  </xdr:two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99811-18FF-4F2B-81E8-218FEED48EE5}">
  <sheetPr>
    <tabColor theme="6" tint="-0.249977111117893"/>
  </sheetPr>
  <dimension ref="A1:N25"/>
  <sheetViews>
    <sheetView showGridLines="0" tabSelected="1" view="pageBreakPreview" zoomScaleNormal="100" zoomScaleSheetLayoutView="100" workbookViewId="0">
      <selection activeCell="A3" sqref="A3:K3"/>
    </sheetView>
  </sheetViews>
  <sheetFormatPr baseColWidth="10" defaultRowHeight="16.5" x14ac:dyDescent="0.3"/>
  <cols>
    <col min="1" max="1" width="7.28515625" style="226" customWidth="1"/>
    <col min="2" max="2" width="31.140625" style="226" customWidth="1"/>
    <col min="3" max="3" width="80.7109375" style="226" customWidth="1"/>
    <col min="4" max="4" width="11.7109375" style="226" customWidth="1"/>
    <col min="5" max="8" width="24" style="226" customWidth="1"/>
    <col min="9" max="9" width="7" style="226" customWidth="1"/>
    <col min="10" max="10" width="13.7109375" style="226" customWidth="1"/>
    <col min="11" max="11" width="22.5703125" style="226" customWidth="1"/>
    <col min="12" max="14" width="16.28515625" style="226" bestFit="1" customWidth="1"/>
    <col min="15" max="16384" width="11.42578125" style="226"/>
  </cols>
  <sheetData>
    <row r="1" spans="1:14" ht="30" customHeight="1" x14ac:dyDescent="0.3">
      <c r="A1" s="257" t="s">
        <v>157</v>
      </c>
      <c r="B1" s="257"/>
      <c r="C1" s="257"/>
      <c r="D1" s="257"/>
      <c r="E1" s="257"/>
      <c r="F1" s="257"/>
      <c r="G1" s="257"/>
      <c r="H1" s="257"/>
      <c r="I1" s="257"/>
      <c r="J1" s="257"/>
      <c r="K1" s="258"/>
    </row>
    <row r="2" spans="1:14" ht="6.75" customHeight="1" x14ac:dyDescent="0.3">
      <c r="A2" s="269"/>
      <c r="B2" s="269"/>
      <c r="C2" s="269"/>
      <c r="D2" s="269"/>
      <c r="E2" s="269"/>
      <c r="F2" s="269"/>
      <c r="G2" s="269"/>
      <c r="H2" s="269"/>
      <c r="I2" s="269"/>
      <c r="J2" s="269"/>
      <c r="K2" s="270"/>
    </row>
    <row r="3" spans="1:14" s="228" customFormat="1" ht="168" customHeight="1" x14ac:dyDescent="0.2">
      <c r="A3" s="260" t="s">
        <v>161</v>
      </c>
      <c r="B3" s="261"/>
      <c r="C3" s="261"/>
      <c r="D3" s="261"/>
      <c r="E3" s="261"/>
      <c r="F3" s="261"/>
      <c r="G3" s="261"/>
      <c r="H3" s="261"/>
      <c r="I3" s="261"/>
      <c r="J3" s="261"/>
      <c r="K3" s="262"/>
    </row>
    <row r="4" spans="1:14" ht="16.5" customHeight="1" x14ac:dyDescent="0.3">
      <c r="A4" s="263" t="s">
        <v>6</v>
      </c>
      <c r="B4" s="264"/>
      <c r="C4" s="264"/>
      <c r="D4" s="264"/>
      <c r="E4" s="259" t="s">
        <v>140</v>
      </c>
      <c r="F4" s="259" t="s">
        <v>141</v>
      </c>
      <c r="G4" s="259" t="s">
        <v>142</v>
      </c>
      <c r="H4" s="259" t="s">
        <v>143</v>
      </c>
      <c r="I4" s="266" t="s">
        <v>134</v>
      </c>
      <c r="J4" s="259" t="s">
        <v>160</v>
      </c>
      <c r="K4" s="259" t="s">
        <v>144</v>
      </c>
    </row>
    <row r="5" spans="1:14" ht="14.25" customHeight="1" x14ac:dyDescent="0.3">
      <c r="A5" s="265"/>
      <c r="B5" s="257"/>
      <c r="C5" s="257"/>
      <c r="D5" s="257"/>
      <c r="E5" s="259"/>
      <c r="F5" s="259"/>
      <c r="G5" s="259"/>
      <c r="H5" s="259"/>
      <c r="I5" s="266"/>
      <c r="J5" s="259"/>
      <c r="K5" s="259"/>
    </row>
    <row r="6" spans="1:14" ht="38.25" customHeight="1" x14ac:dyDescent="0.3">
      <c r="A6" s="231" t="s">
        <v>7</v>
      </c>
      <c r="B6" s="267" t="s">
        <v>139</v>
      </c>
      <c r="C6" s="268"/>
      <c r="D6" s="225" t="s">
        <v>135</v>
      </c>
      <c r="E6" s="259"/>
      <c r="F6" s="259"/>
      <c r="G6" s="259"/>
      <c r="H6" s="259"/>
      <c r="I6" s="266"/>
      <c r="J6" s="259"/>
      <c r="K6" s="259"/>
    </row>
    <row r="7" spans="1:14" s="228" customFormat="1" ht="95.25" customHeight="1" x14ac:dyDescent="0.2">
      <c r="A7" s="240">
        <v>2</v>
      </c>
      <c r="B7" s="241" t="s">
        <v>137</v>
      </c>
      <c r="C7" s="242" t="s">
        <v>145</v>
      </c>
      <c r="D7" s="243" t="s">
        <v>136</v>
      </c>
      <c r="E7" s="246">
        <v>0</v>
      </c>
      <c r="F7" s="238">
        <f>E7*19%</f>
        <v>0</v>
      </c>
      <c r="G7" s="239">
        <f>E7+F7</f>
        <v>0</v>
      </c>
      <c r="H7" s="239">
        <f t="shared" ref="H7:H15" si="0">ROUND(G7*I7,0)</f>
        <v>0</v>
      </c>
      <c r="I7" s="243">
        <v>1</v>
      </c>
      <c r="J7" s="243" t="str">
        <f>IF(AND(E7&gt;0,H7&lt;=K7),"CUMPLE","NO CUMPLE")</f>
        <v>NO CUMPLE</v>
      </c>
      <c r="K7" s="249">
        <v>7599809</v>
      </c>
      <c r="L7" s="248"/>
      <c r="M7" s="247"/>
    </row>
    <row r="8" spans="1:14" s="228" customFormat="1" ht="57.75" customHeight="1" x14ac:dyDescent="0.2">
      <c r="A8" s="240">
        <v>3</v>
      </c>
      <c r="B8" s="251" t="s">
        <v>150</v>
      </c>
      <c r="C8" s="244" t="s">
        <v>146</v>
      </c>
      <c r="D8" s="243" t="s">
        <v>136</v>
      </c>
      <c r="E8" s="250">
        <v>0</v>
      </c>
      <c r="F8" s="238">
        <f t="shared" ref="F8:F15" si="1">E8*19%</f>
        <v>0</v>
      </c>
      <c r="G8" s="239">
        <f t="shared" ref="G8:G15" si="2">E8+F8</f>
        <v>0</v>
      </c>
      <c r="H8" s="239">
        <f t="shared" si="0"/>
        <v>0</v>
      </c>
      <c r="I8" s="243">
        <v>1</v>
      </c>
      <c r="J8" s="243" t="str">
        <f t="shared" ref="J7:J15" si="3">IF(AND(E8&gt;0,H8&lt;=K8),"CUMPLE","NO CUMPLE")</f>
        <v>NO CUMPLE</v>
      </c>
      <c r="K8" s="249">
        <v>917568</v>
      </c>
      <c r="M8" s="247"/>
    </row>
    <row r="9" spans="1:14" s="228" customFormat="1" ht="39" customHeight="1" x14ac:dyDescent="0.2">
      <c r="A9" s="240">
        <v>4</v>
      </c>
      <c r="B9" s="252"/>
      <c r="C9" s="244" t="s">
        <v>147</v>
      </c>
      <c r="D9" s="243" t="s">
        <v>136</v>
      </c>
      <c r="E9" s="250">
        <v>0</v>
      </c>
      <c r="F9" s="238">
        <f t="shared" si="1"/>
        <v>0</v>
      </c>
      <c r="G9" s="239">
        <f t="shared" si="2"/>
        <v>0</v>
      </c>
      <c r="H9" s="239">
        <f t="shared" si="0"/>
        <v>0</v>
      </c>
      <c r="I9" s="241">
        <v>10</v>
      </c>
      <c r="J9" s="243" t="str">
        <f t="shared" si="3"/>
        <v>NO CUMPLE</v>
      </c>
      <c r="K9" s="249">
        <v>4027110</v>
      </c>
      <c r="M9" s="247"/>
      <c r="N9" s="247"/>
    </row>
    <row r="10" spans="1:14" s="228" customFormat="1" ht="69" customHeight="1" x14ac:dyDescent="0.2">
      <c r="A10" s="240">
        <v>5</v>
      </c>
      <c r="B10" s="252"/>
      <c r="C10" s="244" t="s">
        <v>148</v>
      </c>
      <c r="D10" s="243" t="s">
        <v>136</v>
      </c>
      <c r="E10" s="246">
        <v>0</v>
      </c>
      <c r="F10" s="238">
        <f t="shared" si="1"/>
        <v>0</v>
      </c>
      <c r="G10" s="238">
        <f t="shared" si="2"/>
        <v>0</v>
      </c>
      <c r="H10" s="239">
        <f t="shared" si="0"/>
        <v>0</v>
      </c>
      <c r="I10" s="243">
        <v>6</v>
      </c>
      <c r="J10" s="243" t="str">
        <f t="shared" si="3"/>
        <v>NO CUMPLE</v>
      </c>
      <c r="K10" s="249">
        <v>1875744</v>
      </c>
      <c r="M10" s="247"/>
      <c r="N10" s="247"/>
    </row>
    <row r="11" spans="1:14" s="228" customFormat="1" ht="67.5" x14ac:dyDescent="0.2">
      <c r="A11" s="243">
        <v>6</v>
      </c>
      <c r="B11" s="252"/>
      <c r="C11" s="244" t="s">
        <v>149</v>
      </c>
      <c r="D11" s="243" t="s">
        <v>136</v>
      </c>
      <c r="E11" s="246">
        <v>0</v>
      </c>
      <c r="F11" s="238">
        <f t="shared" si="1"/>
        <v>0</v>
      </c>
      <c r="G11" s="238">
        <f t="shared" si="2"/>
        <v>0</v>
      </c>
      <c r="H11" s="239">
        <f t="shared" si="0"/>
        <v>0</v>
      </c>
      <c r="I11" s="243">
        <v>6</v>
      </c>
      <c r="J11" s="243" t="str">
        <f t="shared" si="3"/>
        <v>NO CUMPLE</v>
      </c>
      <c r="K11" s="249">
        <v>5426400</v>
      </c>
      <c r="M11" s="247"/>
      <c r="N11" s="247"/>
    </row>
    <row r="12" spans="1:14" s="228" customFormat="1" ht="40.5" x14ac:dyDescent="0.2">
      <c r="A12" s="243">
        <v>7</v>
      </c>
      <c r="B12" s="251" t="s">
        <v>153</v>
      </c>
      <c r="C12" s="242" t="s">
        <v>151</v>
      </c>
      <c r="D12" s="243" t="s">
        <v>136</v>
      </c>
      <c r="E12" s="246">
        <v>0</v>
      </c>
      <c r="F12" s="238">
        <f t="shared" si="1"/>
        <v>0</v>
      </c>
      <c r="G12" s="239">
        <f t="shared" si="2"/>
        <v>0</v>
      </c>
      <c r="H12" s="239">
        <f t="shared" si="0"/>
        <v>0</v>
      </c>
      <c r="I12" s="243">
        <v>1</v>
      </c>
      <c r="J12" s="243" t="str">
        <f t="shared" si="3"/>
        <v>NO CUMPLE</v>
      </c>
      <c r="K12" s="249">
        <v>2927238</v>
      </c>
      <c r="M12" s="247"/>
      <c r="N12" s="247"/>
    </row>
    <row r="13" spans="1:14" s="228" customFormat="1" ht="81" x14ac:dyDescent="0.2">
      <c r="A13" s="243">
        <v>8</v>
      </c>
      <c r="B13" s="252"/>
      <c r="C13" s="242" t="s">
        <v>152</v>
      </c>
      <c r="D13" s="243" t="s">
        <v>136</v>
      </c>
      <c r="E13" s="246">
        <v>0</v>
      </c>
      <c r="F13" s="238">
        <f t="shared" si="1"/>
        <v>0</v>
      </c>
      <c r="G13" s="238">
        <f t="shared" si="2"/>
        <v>0</v>
      </c>
      <c r="H13" s="239">
        <f t="shared" si="0"/>
        <v>0</v>
      </c>
      <c r="I13" s="243">
        <v>1</v>
      </c>
      <c r="J13" s="243" t="str">
        <f t="shared" si="3"/>
        <v>NO CUMPLE</v>
      </c>
      <c r="K13" s="249">
        <v>8211000</v>
      </c>
      <c r="M13" s="247"/>
      <c r="N13" s="247"/>
    </row>
    <row r="14" spans="1:14" s="228" customFormat="1" ht="27" x14ac:dyDescent="0.2">
      <c r="A14" s="240">
        <v>9</v>
      </c>
      <c r="B14" s="243" t="s">
        <v>138</v>
      </c>
      <c r="C14" s="242" t="s">
        <v>154</v>
      </c>
      <c r="D14" s="243" t="s">
        <v>136</v>
      </c>
      <c r="E14" s="246">
        <v>0</v>
      </c>
      <c r="F14" s="238">
        <f t="shared" si="1"/>
        <v>0</v>
      </c>
      <c r="G14" s="238">
        <f t="shared" si="2"/>
        <v>0</v>
      </c>
      <c r="H14" s="239">
        <f t="shared" si="0"/>
        <v>0</v>
      </c>
      <c r="I14" s="243">
        <v>1</v>
      </c>
      <c r="J14" s="243" t="str">
        <f t="shared" si="3"/>
        <v>NO CUMPLE</v>
      </c>
      <c r="K14" s="249">
        <v>3817355</v>
      </c>
      <c r="M14" s="247"/>
      <c r="N14" s="247"/>
    </row>
    <row r="15" spans="1:14" s="228" customFormat="1" ht="67.5" x14ac:dyDescent="0.2">
      <c r="A15" s="240">
        <v>11</v>
      </c>
      <c r="B15" s="243" t="s">
        <v>155</v>
      </c>
      <c r="C15" s="242" t="s">
        <v>156</v>
      </c>
      <c r="D15" s="243" t="s">
        <v>136</v>
      </c>
      <c r="E15" s="246">
        <v>0</v>
      </c>
      <c r="F15" s="238">
        <f t="shared" si="1"/>
        <v>0</v>
      </c>
      <c r="G15" s="238">
        <f t="shared" si="2"/>
        <v>0</v>
      </c>
      <c r="H15" s="239">
        <f t="shared" si="0"/>
        <v>0</v>
      </c>
      <c r="I15" s="243">
        <v>44</v>
      </c>
      <c r="J15" s="243" t="str">
        <f t="shared" si="3"/>
        <v>NO CUMPLE</v>
      </c>
      <c r="K15" s="249">
        <v>285956</v>
      </c>
      <c r="M15" s="247"/>
      <c r="N15" s="247"/>
    </row>
    <row r="16" spans="1:14" s="233" customFormat="1" ht="15" customHeight="1" x14ac:dyDescent="0.3">
      <c r="A16" s="234"/>
      <c r="B16" s="234"/>
      <c r="C16" s="232"/>
      <c r="D16" s="226"/>
      <c r="E16" s="235"/>
      <c r="F16" s="235"/>
      <c r="G16" s="235"/>
      <c r="H16" s="236"/>
      <c r="I16" s="230"/>
      <c r="J16" s="230"/>
      <c r="K16" s="229"/>
    </row>
    <row r="17" spans="1:11" s="227" customFormat="1" ht="24.75" customHeight="1" x14ac:dyDescent="0.3">
      <c r="A17" s="253" t="s">
        <v>112</v>
      </c>
      <c r="B17" s="254"/>
      <c r="C17" s="254"/>
      <c r="D17" s="245">
        <v>1</v>
      </c>
      <c r="E17" s="253" t="s">
        <v>158</v>
      </c>
      <c r="F17" s="254"/>
      <c r="G17" s="254"/>
      <c r="H17" s="254"/>
      <c r="I17" s="254"/>
      <c r="J17" s="256"/>
      <c r="K17" s="237">
        <v>35700000</v>
      </c>
    </row>
    <row r="18" spans="1:11" ht="30" customHeight="1" x14ac:dyDescent="0.3"/>
    <row r="25" spans="1:11" x14ac:dyDescent="0.3">
      <c r="A25" s="255" t="s">
        <v>159</v>
      </c>
      <c r="B25" s="255"/>
      <c r="C25" s="255"/>
    </row>
  </sheetData>
  <mergeCells count="17">
    <mergeCell ref="A1:K1"/>
    <mergeCell ref="E4:E6"/>
    <mergeCell ref="F4:F6"/>
    <mergeCell ref="G4:G6"/>
    <mergeCell ref="H4:H6"/>
    <mergeCell ref="A3:K3"/>
    <mergeCell ref="A4:D5"/>
    <mergeCell ref="K4:K6"/>
    <mergeCell ref="I4:I6"/>
    <mergeCell ref="B6:C6"/>
    <mergeCell ref="A2:K2"/>
    <mergeCell ref="J4:J6"/>
    <mergeCell ref="B12:B13"/>
    <mergeCell ref="A17:C17"/>
    <mergeCell ref="A25:C25"/>
    <mergeCell ref="B8:B11"/>
    <mergeCell ref="E17:J17"/>
  </mergeCells>
  <phoneticPr fontId="30" type="noConversion"/>
  <conditionalFormatting sqref="J7">
    <cfRule type="cellIs" dxfId="10" priority="6" operator="equal">
      <formula>"CUMPLE"</formula>
    </cfRule>
    <cfRule type="cellIs" dxfId="9" priority="4" operator="equal">
      <formula>"NO CUMPLE"</formula>
    </cfRule>
    <cfRule type="expression" dxfId="8" priority="5">
      <formula>$H7&gt;$K7/1.2</formula>
    </cfRule>
  </conditionalFormatting>
  <conditionalFormatting sqref="J8:J15">
    <cfRule type="cellIs" dxfId="7" priority="1" operator="equal">
      <formula>"NO CUMPLE"</formula>
    </cfRule>
    <cfRule type="expression" dxfId="6" priority="2">
      <formula>$H8&gt;$K8/1.2</formula>
    </cfRule>
    <cfRule type="cellIs" dxfId="5" priority="3" operator="equal">
      <formula>"CUMPLE"</formula>
    </cfRule>
  </conditionalFormatting>
  <printOptions horizontalCentered="1"/>
  <pageMargins left="0.19685039370078741" right="0.19685039370078741" top="0.39370078740157483" bottom="0.35433070866141736" header="0" footer="0"/>
  <pageSetup scale="29" fitToHeight="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7B981-56FA-4826-AC03-C06FEF0F9C3E}">
  <dimension ref="F6:M24"/>
  <sheetViews>
    <sheetView topLeftCell="A7" workbookViewId="0">
      <selection activeCell="F18" sqref="F18:H24"/>
    </sheetView>
  </sheetViews>
  <sheetFormatPr baseColWidth="10" defaultRowHeight="12.75" x14ac:dyDescent="0.2"/>
  <cols>
    <col min="6" max="6" width="36.140625" customWidth="1"/>
    <col min="7" max="7" width="18.28515625" customWidth="1"/>
    <col min="8" max="8" width="15.42578125" bestFit="1" customWidth="1"/>
    <col min="12" max="14" width="30.28515625" customWidth="1"/>
  </cols>
  <sheetData>
    <row r="6" spans="6:8" x14ac:dyDescent="0.2">
      <c r="G6" s="271" t="s">
        <v>123</v>
      </c>
      <c r="H6" s="271"/>
    </row>
    <row r="7" spans="6:8" ht="25.5" x14ac:dyDescent="0.2">
      <c r="G7" s="220" t="s">
        <v>124</v>
      </c>
      <c r="H7" s="220" t="s">
        <v>125</v>
      </c>
    </row>
    <row r="8" spans="6:8" x14ac:dyDescent="0.2">
      <c r="F8" s="213" t="s">
        <v>126</v>
      </c>
      <c r="G8" s="209">
        <v>58885441.160000004</v>
      </c>
      <c r="H8" s="209">
        <v>52719348.279144764</v>
      </c>
    </row>
    <row r="9" spans="6:8" ht="13.5" thickBot="1" x14ac:dyDescent="0.25">
      <c r="F9" s="214" t="s">
        <v>127</v>
      </c>
      <c r="G9" s="210">
        <v>15000000</v>
      </c>
      <c r="H9" s="210">
        <v>15000000</v>
      </c>
    </row>
    <row r="10" spans="6:8" ht="13.5" thickBot="1" x14ac:dyDescent="0.25">
      <c r="F10" s="215" t="s">
        <v>128</v>
      </c>
      <c r="G10" s="217">
        <f>SUM(G8:G9)</f>
        <v>73885441.159999996</v>
      </c>
      <c r="H10" s="212">
        <f>SUM(H8:H9)</f>
        <v>67719348.279144764</v>
      </c>
    </row>
    <row r="11" spans="6:8" x14ac:dyDescent="0.2">
      <c r="F11" s="216" t="s">
        <v>129</v>
      </c>
      <c r="G11" s="211">
        <v>65774352</v>
      </c>
      <c r="H11" s="211">
        <v>65774352</v>
      </c>
    </row>
    <row r="12" spans="6:8" ht="18.75" customHeight="1" x14ac:dyDescent="0.2">
      <c r="F12" s="218" t="s">
        <v>130</v>
      </c>
      <c r="G12" s="219">
        <f>+G11-G10</f>
        <v>-8111089.1599999964</v>
      </c>
      <c r="H12" s="219">
        <f>+H11-H10</f>
        <v>-1944996.2791447639</v>
      </c>
    </row>
    <row r="17" spans="6:13" s="221" customFormat="1" ht="45" x14ac:dyDescent="0.2">
      <c r="J17" s="222">
        <v>15</v>
      </c>
      <c r="K17" s="222" t="s">
        <v>131</v>
      </c>
      <c r="L17" s="223" t="s">
        <v>39</v>
      </c>
      <c r="M17" s="224" t="s">
        <v>132</v>
      </c>
    </row>
    <row r="18" spans="6:13" x14ac:dyDescent="0.2">
      <c r="G18" s="271" t="s">
        <v>133</v>
      </c>
      <c r="H18" s="271"/>
    </row>
    <row r="19" spans="6:13" ht="25.5" x14ac:dyDescent="0.2">
      <c r="G19" s="220" t="s">
        <v>124</v>
      </c>
      <c r="H19" s="220" t="s">
        <v>125</v>
      </c>
    </row>
    <row r="20" spans="6:13" ht="15.75" customHeight="1" x14ac:dyDescent="0.2">
      <c r="F20" s="213" t="s">
        <v>126</v>
      </c>
      <c r="G20" s="209">
        <f>+'ESCENARIO 2'!BF27</f>
        <v>73600317.734999999</v>
      </c>
      <c r="H20" s="209">
        <f>+'ESCENARIO 2'!AF27</f>
        <v>62632857.323811963</v>
      </c>
    </row>
    <row r="21" spans="6:13" ht="15.75" customHeight="1" thickBot="1" x14ac:dyDescent="0.25">
      <c r="F21" s="214" t="s">
        <v>127</v>
      </c>
      <c r="G21" s="210">
        <v>15000000</v>
      </c>
      <c r="H21" s="210">
        <v>15000000</v>
      </c>
    </row>
    <row r="22" spans="6:13" ht="15.75" customHeight="1" thickBot="1" x14ac:dyDescent="0.25">
      <c r="F22" s="215" t="s">
        <v>128</v>
      </c>
      <c r="G22" s="217">
        <f>SUM(G20:G21)</f>
        <v>88600317.734999999</v>
      </c>
      <c r="H22" s="212">
        <f>SUM(H20:H21)</f>
        <v>77632857.323811963</v>
      </c>
    </row>
    <row r="23" spans="6:13" ht="15.75" customHeight="1" x14ac:dyDescent="0.2">
      <c r="F23" s="216" t="s">
        <v>129</v>
      </c>
      <c r="G23" s="211">
        <v>65774352</v>
      </c>
      <c r="H23" s="211">
        <v>65774352</v>
      </c>
    </row>
    <row r="24" spans="6:13" ht="15.75" customHeight="1" x14ac:dyDescent="0.2">
      <c r="F24" s="218" t="s">
        <v>130</v>
      </c>
      <c r="G24" s="219">
        <f>+G23-G22</f>
        <v>-22825965.734999999</v>
      </c>
      <c r="H24" s="219">
        <f>+H23-H22</f>
        <v>-11858505.323811963</v>
      </c>
    </row>
  </sheetData>
  <mergeCells count="2">
    <mergeCell ref="G6:H6"/>
    <mergeCell ref="G18:H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59"/>
  <sheetViews>
    <sheetView showGridLines="0" view="pageBreakPreview" topLeftCell="D1" zoomScale="80" zoomScaleNormal="100" zoomScaleSheetLayoutView="80" workbookViewId="0">
      <selection activeCell="G10" sqref="G10:K10"/>
    </sheetView>
  </sheetViews>
  <sheetFormatPr baseColWidth="10" defaultRowHeight="12.75" x14ac:dyDescent="0.2"/>
  <cols>
    <col min="1" max="1" width="7.28515625" style="1" customWidth="1"/>
    <col min="2" max="2" width="7.42578125" style="1" customWidth="1"/>
    <col min="3" max="4" width="15.85546875" style="1" customWidth="1"/>
    <col min="5" max="5" width="29.42578125" style="1" customWidth="1"/>
    <col min="6" max="6" width="24.5703125" style="1" customWidth="1"/>
    <col min="7" max="7" width="17.28515625" style="1" customWidth="1"/>
    <col min="8" max="18" width="16.140625" style="1" customWidth="1"/>
    <col min="19" max="20" width="12.85546875" style="1" customWidth="1"/>
    <col min="21" max="21" width="17.140625" style="1" customWidth="1"/>
    <col min="22" max="25" width="12.85546875" style="1" customWidth="1"/>
    <col min="26" max="26" width="16" style="1" customWidth="1"/>
    <col min="27" max="28" width="7" style="1" customWidth="1"/>
    <col min="29" max="30" width="13.140625" style="1" customWidth="1"/>
    <col min="31" max="31" width="13.28515625" style="1" customWidth="1"/>
    <col min="32" max="32" width="19.5703125" style="1" customWidth="1"/>
    <col min="33" max="33" width="23.140625" style="1" customWidth="1"/>
    <col min="34" max="37" width="15.42578125" style="1" customWidth="1"/>
    <col min="38" max="39" width="12.85546875" style="1" hidden="1" customWidth="1"/>
    <col min="40" max="40" width="17.28515625" style="1" hidden="1" customWidth="1"/>
    <col min="41" max="41" width="16.140625" style="1" hidden="1" customWidth="1"/>
    <col min="42" max="45" width="0" style="1" hidden="1" customWidth="1"/>
    <col min="46" max="46" width="4.42578125" style="1" customWidth="1"/>
    <col min="47" max="47" width="15.5703125" style="73" bestFit="1" customWidth="1"/>
    <col min="48" max="48" width="17.140625" style="73" bestFit="1" customWidth="1"/>
    <col min="49" max="49" width="15.5703125" style="73" bestFit="1" customWidth="1"/>
    <col min="50" max="50" width="20.42578125" style="73" bestFit="1" customWidth="1"/>
    <col min="51" max="51" width="21" style="73" bestFit="1" customWidth="1"/>
    <col min="52" max="52" width="2.28515625" style="73" customWidth="1"/>
    <col min="53" max="53" width="15.42578125" style="73" customWidth="1"/>
    <col min="54" max="54" width="17.140625" style="73" bestFit="1" customWidth="1"/>
    <col min="55" max="55" width="15.5703125" style="73" bestFit="1" customWidth="1"/>
    <col min="56" max="56" width="13.5703125" style="73" bestFit="1" customWidth="1"/>
    <col min="57" max="57" width="15.5703125" style="73" bestFit="1" customWidth="1"/>
    <col min="58" max="58" width="19.140625" style="73" bestFit="1" customWidth="1"/>
    <col min="59" max="59" width="6.85546875" style="73" customWidth="1"/>
    <col min="60" max="60" width="15.5703125" style="73" bestFit="1" customWidth="1"/>
    <col min="61" max="61" width="11" style="73" bestFit="1" customWidth="1"/>
    <col min="62" max="62" width="13.5703125" style="73" bestFit="1" customWidth="1"/>
    <col min="63" max="63" width="18.85546875" style="73" customWidth="1"/>
    <col min="64" max="64" width="19" style="73" bestFit="1" customWidth="1"/>
    <col min="65" max="65" width="19.42578125" style="73" bestFit="1" customWidth="1"/>
    <col min="66" max="66" width="22.5703125" style="73" bestFit="1" customWidth="1"/>
    <col min="67" max="67" width="21.28515625" style="73" bestFit="1" customWidth="1"/>
    <col min="68" max="68" width="11.42578125" style="73"/>
    <col min="69" max="69" width="15.5703125" style="73" bestFit="1" customWidth="1"/>
    <col min="70" max="86" width="11.42578125" style="73"/>
    <col min="87" max="16384" width="11.42578125" style="1"/>
  </cols>
  <sheetData>
    <row r="1" spans="1:86" ht="23.25" customHeight="1" x14ac:dyDescent="0.2">
      <c r="A1" s="301"/>
      <c r="B1" s="301"/>
      <c r="C1" s="301"/>
      <c r="D1" s="304" t="s">
        <v>115</v>
      </c>
      <c r="E1" s="305"/>
      <c r="F1" s="305"/>
      <c r="G1" s="305"/>
      <c r="H1" s="305"/>
      <c r="I1" s="305"/>
      <c r="J1" s="305"/>
      <c r="K1" s="305"/>
      <c r="L1" s="305"/>
      <c r="M1" s="305"/>
      <c r="N1" s="305"/>
      <c r="O1" s="305"/>
      <c r="P1" s="305"/>
      <c r="Q1" s="305"/>
      <c r="R1" s="305"/>
      <c r="S1" s="305"/>
      <c r="T1" s="305"/>
      <c r="U1" s="305"/>
      <c r="V1" s="305"/>
      <c r="W1" s="305"/>
      <c r="X1" s="306"/>
      <c r="Y1" s="298" t="s">
        <v>11</v>
      </c>
      <c r="Z1" s="298"/>
      <c r="AA1" s="298"/>
      <c r="AB1" s="298"/>
      <c r="AC1" s="298"/>
      <c r="AD1" s="70"/>
      <c r="AE1" s="298"/>
      <c r="AF1" s="298"/>
      <c r="AG1" s="18"/>
      <c r="AH1" s="18"/>
    </row>
    <row r="2" spans="1:86" ht="23.25" customHeight="1" x14ac:dyDescent="0.2">
      <c r="A2" s="301"/>
      <c r="B2" s="301"/>
      <c r="C2" s="301"/>
      <c r="D2" s="307"/>
      <c r="E2" s="308"/>
      <c r="F2" s="308"/>
      <c r="G2" s="308"/>
      <c r="H2" s="308"/>
      <c r="I2" s="308"/>
      <c r="J2" s="308"/>
      <c r="K2" s="308"/>
      <c r="L2" s="308"/>
      <c r="M2" s="308"/>
      <c r="N2" s="308"/>
      <c r="O2" s="308"/>
      <c r="P2" s="308"/>
      <c r="Q2" s="308"/>
      <c r="R2" s="308"/>
      <c r="S2" s="308"/>
      <c r="T2" s="308"/>
      <c r="U2" s="308"/>
      <c r="V2" s="308"/>
      <c r="W2" s="308"/>
      <c r="X2" s="309"/>
      <c r="Y2" s="300" t="s">
        <v>9</v>
      </c>
      <c r="Z2" s="300"/>
      <c r="AA2" s="300"/>
      <c r="AB2" s="300"/>
      <c r="AC2" s="300"/>
      <c r="AD2" s="71"/>
      <c r="AE2" s="298"/>
      <c r="AF2" s="298"/>
      <c r="AG2" s="18"/>
      <c r="AH2" s="18"/>
    </row>
    <row r="3" spans="1:86" ht="24.75" customHeight="1" x14ac:dyDescent="0.2">
      <c r="A3" s="301"/>
      <c r="B3" s="301"/>
      <c r="C3" s="301"/>
      <c r="D3" s="303" t="s">
        <v>114</v>
      </c>
      <c r="E3" s="303"/>
      <c r="F3" s="303"/>
      <c r="G3" s="303"/>
      <c r="H3" s="303"/>
      <c r="I3" s="303"/>
      <c r="J3" s="303"/>
      <c r="K3" s="303"/>
      <c r="L3" s="303"/>
      <c r="M3" s="302" t="s">
        <v>1</v>
      </c>
      <c r="N3" s="302"/>
      <c r="O3" s="302"/>
      <c r="P3" s="302"/>
      <c r="Q3" s="302"/>
      <c r="R3" s="302"/>
      <c r="S3" s="302"/>
      <c r="T3" s="302"/>
      <c r="U3" s="302"/>
      <c r="V3" s="302"/>
      <c r="W3" s="302"/>
      <c r="X3" s="299"/>
      <c r="Y3" s="299" t="s">
        <v>10</v>
      </c>
      <c r="Z3" s="299"/>
      <c r="AA3" s="300"/>
      <c r="AB3" s="300"/>
      <c r="AC3" s="300"/>
      <c r="AD3" s="71"/>
      <c r="AE3" s="298"/>
      <c r="AF3" s="298"/>
      <c r="AG3" s="18"/>
      <c r="AH3" s="18"/>
      <c r="AI3" s="16"/>
      <c r="AJ3" s="16"/>
      <c r="AK3" s="16"/>
      <c r="AL3" s="16"/>
      <c r="AM3" s="16"/>
    </row>
    <row r="4" spans="1:86" ht="15.75" x14ac:dyDescent="0.25">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23"/>
      <c r="AF4" s="24"/>
      <c r="AG4" s="103"/>
      <c r="AH4" s="103"/>
      <c r="AI4" s="103"/>
      <c r="AJ4" s="103"/>
      <c r="AK4" s="103"/>
    </row>
    <row r="5" spans="1:86" s="2" customFormat="1" ht="25.5" customHeight="1" x14ac:dyDescent="0.2">
      <c r="A5" s="322" t="s">
        <v>19</v>
      </c>
      <c r="B5" s="322"/>
      <c r="C5" s="322"/>
      <c r="D5" s="322"/>
      <c r="E5" s="322"/>
      <c r="F5" s="322"/>
      <c r="G5" s="322"/>
      <c r="H5" s="322"/>
      <c r="I5" s="322"/>
      <c r="J5" s="322"/>
      <c r="K5" s="322"/>
      <c r="L5" s="322"/>
      <c r="M5" s="322"/>
      <c r="N5" s="322"/>
      <c r="O5" s="322"/>
      <c r="P5" s="322"/>
      <c r="Q5" s="322"/>
      <c r="R5" s="322"/>
      <c r="S5" s="322"/>
      <c r="T5" s="322"/>
      <c r="U5" s="322"/>
      <c r="V5" s="322"/>
      <c r="W5" s="322"/>
      <c r="X5" s="322"/>
      <c r="Y5" s="322"/>
      <c r="Z5" s="322"/>
      <c r="AA5" s="322"/>
      <c r="AB5" s="322"/>
      <c r="AC5" s="322"/>
      <c r="AD5" s="322"/>
      <c r="AE5" s="322"/>
      <c r="AF5" s="323"/>
      <c r="AG5" s="104"/>
      <c r="AH5" s="105"/>
      <c r="AI5" s="22"/>
      <c r="AJ5" s="22"/>
      <c r="AK5" s="22"/>
      <c r="AL5" s="17"/>
      <c r="AM5" s="17"/>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row>
    <row r="6" spans="1:86" s="2" customFormat="1" ht="21.75" customHeight="1" x14ac:dyDescent="0.2">
      <c r="A6" s="275" t="s">
        <v>2</v>
      </c>
      <c r="B6" s="276"/>
      <c r="C6" s="276"/>
      <c r="D6" s="276"/>
      <c r="E6" s="276"/>
      <c r="F6" s="276"/>
      <c r="G6" s="276"/>
      <c r="H6" s="276"/>
      <c r="I6" s="276"/>
      <c r="J6" s="276"/>
      <c r="K6" s="276"/>
      <c r="L6" s="276"/>
      <c r="M6" s="276"/>
      <c r="N6" s="276"/>
      <c r="O6" s="276"/>
      <c r="P6" s="276"/>
      <c r="Q6" s="276"/>
      <c r="R6" s="276"/>
      <c r="S6" s="276"/>
      <c r="T6" s="276"/>
      <c r="U6" s="276"/>
      <c r="V6" s="276"/>
      <c r="W6" s="276"/>
      <c r="X6" s="276"/>
      <c r="Y6" s="276"/>
      <c r="Z6" s="277"/>
      <c r="AA6" s="324">
        <f>+O47</f>
        <v>77632857.323811963</v>
      </c>
      <c r="AB6" s="325"/>
      <c r="AC6" s="325"/>
      <c r="AD6" s="72"/>
      <c r="AE6" s="326" t="s">
        <v>105</v>
      </c>
      <c r="AF6" s="326"/>
      <c r="AG6" s="106"/>
      <c r="AH6" s="107"/>
      <c r="AI6" s="22"/>
      <c r="AJ6" s="22"/>
      <c r="AK6" s="22"/>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row>
    <row r="7" spans="1:86" s="2" customFormat="1" ht="21.75" customHeight="1" x14ac:dyDescent="0.2">
      <c r="A7" s="275" t="s">
        <v>4</v>
      </c>
      <c r="B7" s="276"/>
      <c r="C7" s="276"/>
      <c r="D7" s="276"/>
      <c r="E7" s="276"/>
      <c r="F7" s="276"/>
      <c r="G7" s="276"/>
      <c r="H7" s="276"/>
      <c r="I7" s="276"/>
      <c r="J7" s="276"/>
      <c r="K7" s="276"/>
      <c r="L7" s="276"/>
      <c r="M7" s="276"/>
      <c r="N7" s="276"/>
      <c r="O7" s="276"/>
      <c r="P7" s="276"/>
      <c r="Q7" s="276"/>
      <c r="R7" s="276"/>
      <c r="S7" s="276"/>
      <c r="T7" s="276"/>
      <c r="U7" s="276"/>
      <c r="V7" s="276"/>
      <c r="W7" s="276"/>
      <c r="X7" s="276"/>
      <c r="Y7" s="276"/>
      <c r="Z7" s="277"/>
      <c r="AA7" s="324">
        <v>65774352</v>
      </c>
      <c r="AB7" s="325"/>
      <c r="AC7" s="325"/>
      <c r="AD7" s="72"/>
      <c r="AE7" s="326"/>
      <c r="AF7" s="326"/>
      <c r="AG7" s="207">
        <f>+AA7-AA6</f>
        <v>-11858505.323811963</v>
      </c>
      <c r="AH7" s="107"/>
      <c r="AI7" s="108"/>
      <c r="AJ7" s="108"/>
      <c r="AK7" s="108"/>
      <c r="AL7" s="10"/>
      <c r="AM7" s="10"/>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row>
    <row r="8" spans="1:86" s="3" customFormat="1" ht="25.5" customHeight="1" x14ac:dyDescent="0.15">
      <c r="A8" s="327" t="s">
        <v>6</v>
      </c>
      <c r="B8" s="328"/>
      <c r="C8" s="328"/>
      <c r="D8" s="328"/>
      <c r="E8" s="328"/>
      <c r="F8" s="328"/>
      <c r="G8" s="335" t="s">
        <v>75</v>
      </c>
      <c r="H8" s="336"/>
      <c r="I8" s="336"/>
      <c r="J8" s="336"/>
      <c r="K8" s="337"/>
      <c r="L8" s="332" t="s">
        <v>0</v>
      </c>
      <c r="M8" s="333"/>
      <c r="N8" s="333"/>
      <c r="O8" s="333"/>
      <c r="P8" s="333"/>
      <c r="Q8" s="333"/>
      <c r="R8" s="333"/>
      <c r="S8" s="333"/>
      <c r="T8" s="333"/>
      <c r="U8" s="333"/>
      <c r="V8" s="333"/>
      <c r="W8" s="333"/>
      <c r="X8" s="333"/>
      <c r="Y8" s="333"/>
      <c r="Z8" s="334"/>
      <c r="AA8" s="315" t="s">
        <v>43</v>
      </c>
      <c r="AB8" s="316" t="s">
        <v>57</v>
      </c>
      <c r="AC8" s="314" t="s">
        <v>118</v>
      </c>
      <c r="AD8" s="314" t="s">
        <v>119</v>
      </c>
      <c r="AE8" s="314" t="s">
        <v>120</v>
      </c>
      <c r="AF8" s="314" t="s">
        <v>121</v>
      </c>
      <c r="AG8" s="109"/>
      <c r="AH8" s="109"/>
      <c r="AI8" s="110"/>
      <c r="AJ8" s="110"/>
      <c r="AK8" s="110"/>
      <c r="AU8" s="80"/>
      <c r="AV8" s="80"/>
      <c r="AW8" s="80"/>
      <c r="AX8" s="80"/>
      <c r="AY8" s="80"/>
      <c r="AZ8" s="80"/>
      <c r="BA8" s="80"/>
      <c r="BB8" s="80"/>
      <c r="BC8" s="80"/>
      <c r="BD8" s="101" t="s">
        <v>100</v>
      </c>
      <c r="BE8" s="80"/>
      <c r="BF8" s="80"/>
      <c r="BG8" s="80"/>
      <c r="BH8" s="80"/>
      <c r="BI8" s="101" t="s">
        <v>100</v>
      </c>
      <c r="BJ8" s="80"/>
      <c r="BK8" s="80"/>
      <c r="BL8" s="80"/>
      <c r="BM8" s="101" t="s">
        <v>107</v>
      </c>
      <c r="BN8" s="80"/>
      <c r="BO8" s="80"/>
      <c r="BP8" s="80"/>
      <c r="BQ8" s="80"/>
      <c r="BR8" s="80"/>
      <c r="BS8" s="80"/>
      <c r="BT8" s="80"/>
      <c r="BU8" s="80"/>
      <c r="BV8" s="80"/>
      <c r="BW8" s="80"/>
      <c r="BX8" s="80"/>
      <c r="BY8" s="80"/>
      <c r="BZ8" s="80"/>
      <c r="CA8" s="80"/>
      <c r="CB8" s="80"/>
      <c r="CC8" s="80"/>
      <c r="CD8" s="80"/>
      <c r="CE8" s="80"/>
      <c r="CF8" s="80"/>
      <c r="CG8" s="80"/>
      <c r="CH8" s="80"/>
    </row>
    <row r="9" spans="1:86" s="3" customFormat="1" ht="40.5" customHeight="1" x14ac:dyDescent="0.15">
      <c r="A9" s="329"/>
      <c r="B9" s="330"/>
      <c r="C9" s="330"/>
      <c r="D9" s="330"/>
      <c r="E9" s="330"/>
      <c r="F9" s="330"/>
      <c r="G9" s="331" t="s">
        <v>76</v>
      </c>
      <c r="H9" s="331"/>
      <c r="I9" s="331"/>
      <c r="J9" s="331"/>
      <c r="K9" s="331"/>
      <c r="L9" s="311" t="s">
        <v>47</v>
      </c>
      <c r="M9" s="312"/>
      <c r="N9" s="312"/>
      <c r="O9" s="312"/>
      <c r="P9" s="313"/>
      <c r="Q9" s="311" t="s">
        <v>46</v>
      </c>
      <c r="R9" s="312"/>
      <c r="S9" s="312"/>
      <c r="T9" s="312"/>
      <c r="U9" s="313"/>
      <c r="V9" s="311" t="s">
        <v>48</v>
      </c>
      <c r="W9" s="312"/>
      <c r="X9" s="312"/>
      <c r="Y9" s="312"/>
      <c r="Z9" s="313"/>
      <c r="AA9" s="315"/>
      <c r="AB9" s="317"/>
      <c r="AC9" s="314"/>
      <c r="AD9" s="314"/>
      <c r="AE9" s="314"/>
      <c r="AF9" s="314"/>
      <c r="AG9" s="109"/>
      <c r="AH9" s="109"/>
      <c r="AI9" s="110"/>
      <c r="AJ9" s="110"/>
      <c r="AK9" s="110"/>
      <c r="AU9" s="343" t="s">
        <v>87</v>
      </c>
      <c r="AV9" s="343"/>
      <c r="AW9" s="343"/>
      <c r="AX9" s="343"/>
      <c r="AY9" s="343"/>
      <c r="AZ9" s="80"/>
      <c r="BA9" s="80"/>
      <c r="BB9" s="273" t="s">
        <v>90</v>
      </c>
      <c r="BC9" s="273"/>
      <c r="BD9" s="273"/>
      <c r="BE9" s="273"/>
      <c r="BF9" s="273"/>
      <c r="BG9" s="87"/>
      <c r="BH9" s="272" t="s">
        <v>91</v>
      </c>
      <c r="BI9" s="272"/>
      <c r="BJ9" s="80"/>
      <c r="BK9" s="274" t="s">
        <v>97</v>
      </c>
      <c r="BL9" s="274"/>
      <c r="BM9" s="274"/>
      <c r="BN9" s="274"/>
      <c r="BO9" s="274"/>
      <c r="BP9" s="80"/>
      <c r="BQ9" s="272" t="s">
        <v>91</v>
      </c>
      <c r="BR9" s="272"/>
      <c r="BS9" s="80"/>
      <c r="BT9" s="80"/>
      <c r="BU9" s="80"/>
      <c r="BV9" s="80"/>
      <c r="BW9" s="80"/>
      <c r="BX9" s="80"/>
      <c r="BY9" s="80"/>
      <c r="BZ9" s="80"/>
      <c r="CA9" s="80"/>
      <c r="CB9" s="80"/>
      <c r="CC9" s="80"/>
      <c r="CD9" s="80"/>
      <c r="CE9" s="80"/>
      <c r="CF9" s="80"/>
      <c r="CG9" s="80"/>
      <c r="CH9" s="80"/>
    </row>
    <row r="10" spans="1:86" s="3" customFormat="1" ht="63" customHeight="1" x14ac:dyDescent="0.15">
      <c r="A10" s="60" t="s">
        <v>7</v>
      </c>
      <c r="B10" s="339" t="s">
        <v>14</v>
      </c>
      <c r="C10" s="340"/>
      <c r="D10" s="61" t="s">
        <v>20</v>
      </c>
      <c r="E10" s="62" t="s">
        <v>21</v>
      </c>
      <c r="F10" s="63" t="s">
        <v>22</v>
      </c>
      <c r="G10" s="29" t="s">
        <v>5</v>
      </c>
      <c r="H10" s="29" t="s">
        <v>13</v>
      </c>
      <c r="I10" s="29" t="s">
        <v>16</v>
      </c>
      <c r="J10" s="29" t="s">
        <v>54</v>
      </c>
      <c r="K10" s="29" t="s">
        <v>55</v>
      </c>
      <c r="L10" s="29" t="s">
        <v>5</v>
      </c>
      <c r="M10" s="29" t="s">
        <v>13</v>
      </c>
      <c r="N10" s="29" t="s">
        <v>16</v>
      </c>
      <c r="O10" s="29" t="s">
        <v>54</v>
      </c>
      <c r="P10" s="29" t="s">
        <v>55</v>
      </c>
      <c r="Q10" s="29" t="s">
        <v>5</v>
      </c>
      <c r="R10" s="29" t="s">
        <v>13</v>
      </c>
      <c r="S10" s="29" t="s">
        <v>16</v>
      </c>
      <c r="T10" s="29" t="s">
        <v>54</v>
      </c>
      <c r="U10" s="29" t="s">
        <v>55</v>
      </c>
      <c r="V10" s="29" t="s">
        <v>5</v>
      </c>
      <c r="W10" s="29" t="s">
        <v>13</v>
      </c>
      <c r="X10" s="29" t="s">
        <v>16</v>
      </c>
      <c r="Y10" s="29" t="s">
        <v>54</v>
      </c>
      <c r="Z10" s="29" t="s">
        <v>55</v>
      </c>
      <c r="AA10" s="315"/>
      <c r="AB10" s="318"/>
      <c r="AC10" s="314"/>
      <c r="AD10" s="314"/>
      <c r="AE10" s="314"/>
      <c r="AF10" s="314"/>
      <c r="AG10" s="109"/>
      <c r="AH10" s="33" t="s">
        <v>77</v>
      </c>
      <c r="AI10" s="33" t="s">
        <v>44</v>
      </c>
      <c r="AJ10" s="33" t="s">
        <v>45</v>
      </c>
      <c r="AK10" s="33" t="s">
        <v>95</v>
      </c>
      <c r="AL10" s="341" t="s">
        <v>81</v>
      </c>
      <c r="AM10" s="342"/>
      <c r="AN10" s="341" t="s">
        <v>82</v>
      </c>
      <c r="AO10" s="342"/>
      <c r="AP10" s="341" t="s">
        <v>83</v>
      </c>
      <c r="AQ10" s="342"/>
      <c r="AR10" s="341" t="s">
        <v>84</v>
      </c>
      <c r="AS10" s="342"/>
      <c r="AU10" s="74" t="s">
        <v>88</v>
      </c>
      <c r="AV10" s="74" t="s">
        <v>89</v>
      </c>
      <c r="AW10" s="74" t="s">
        <v>78</v>
      </c>
      <c r="AX10" s="76" t="s">
        <v>79</v>
      </c>
      <c r="AY10" s="76" t="s">
        <v>80</v>
      </c>
      <c r="AZ10" s="80"/>
      <c r="BA10" s="80"/>
      <c r="BB10" s="77" t="s">
        <v>92</v>
      </c>
      <c r="BC10" s="78" t="s">
        <v>93</v>
      </c>
      <c r="BD10" s="78" t="s">
        <v>94</v>
      </c>
      <c r="BE10" s="78" t="s">
        <v>54</v>
      </c>
      <c r="BF10" s="78" t="s">
        <v>55</v>
      </c>
      <c r="BG10" s="88"/>
      <c r="BH10" s="75" t="s">
        <v>75</v>
      </c>
      <c r="BI10" s="75" t="s">
        <v>94</v>
      </c>
      <c r="BJ10" s="80"/>
      <c r="BK10" s="83" t="s">
        <v>98</v>
      </c>
      <c r="BL10" s="84" t="s">
        <v>93</v>
      </c>
      <c r="BM10" s="83" t="s">
        <v>94</v>
      </c>
      <c r="BN10" s="84" t="s">
        <v>54</v>
      </c>
      <c r="BO10" s="83" t="s">
        <v>55</v>
      </c>
      <c r="BP10" s="80"/>
      <c r="BQ10" s="75" t="s">
        <v>75</v>
      </c>
      <c r="BR10" s="78" t="s">
        <v>94</v>
      </c>
      <c r="BS10" s="80"/>
      <c r="BT10" s="80"/>
      <c r="BU10" s="80"/>
      <c r="BV10" s="80"/>
      <c r="BW10" s="80"/>
      <c r="BX10" s="80"/>
      <c r="BY10" s="80"/>
      <c r="BZ10" s="80"/>
      <c r="CA10" s="80"/>
      <c r="CB10" s="80"/>
      <c r="CC10" s="80"/>
      <c r="CD10" s="80"/>
      <c r="CE10" s="80"/>
      <c r="CF10" s="80"/>
      <c r="CG10" s="80"/>
      <c r="CH10" s="80"/>
    </row>
    <row r="11" spans="1:86" s="47" customFormat="1" ht="103.5" customHeight="1" x14ac:dyDescent="0.2">
      <c r="A11" s="112">
        <v>1</v>
      </c>
      <c r="B11" s="292" t="s">
        <v>23</v>
      </c>
      <c r="C11" s="30" t="s">
        <v>24</v>
      </c>
      <c r="D11" s="30" t="s">
        <v>25</v>
      </c>
      <c r="E11" s="36"/>
      <c r="F11" s="56" t="s">
        <v>26</v>
      </c>
      <c r="G11" s="8">
        <v>578600</v>
      </c>
      <c r="H11" s="8">
        <f>+G11*19%</f>
        <v>109934</v>
      </c>
      <c r="I11" s="8">
        <f>+H11+G11</f>
        <v>688534</v>
      </c>
      <c r="J11" s="8">
        <f>+I11*AA11</f>
        <v>688534</v>
      </c>
      <c r="K11" s="8">
        <f>+J11*AB11</f>
        <v>2065602</v>
      </c>
      <c r="L11" s="8">
        <v>398000</v>
      </c>
      <c r="M11" s="8">
        <f>+L11*19%</f>
        <v>75620</v>
      </c>
      <c r="N11" s="8">
        <f>+M11+L11</f>
        <v>473620</v>
      </c>
      <c r="O11" s="8">
        <f t="shared" ref="O11:O21" si="0">+N11*AA11</f>
        <v>473620</v>
      </c>
      <c r="P11" s="8">
        <f>+O11*AB11</f>
        <v>1420860</v>
      </c>
      <c r="Q11" s="37">
        <v>478370</v>
      </c>
      <c r="R11" s="8">
        <f>+Q11*19%</f>
        <v>90890.3</v>
      </c>
      <c r="S11" s="8">
        <f>+R11+Q11</f>
        <v>569260.30000000005</v>
      </c>
      <c r="T11" s="8">
        <f t="shared" ref="T11:T21" si="1">+S11*AA11</f>
        <v>569260.30000000005</v>
      </c>
      <c r="U11" s="8">
        <f>+T11*AB11</f>
        <v>1707780.9000000001</v>
      </c>
      <c r="V11" s="53">
        <v>580000</v>
      </c>
      <c r="W11" s="53">
        <f>+V11*19%</f>
        <v>110200</v>
      </c>
      <c r="X11" s="53">
        <f>+V11+W11</f>
        <v>690200</v>
      </c>
      <c r="Y11" s="53">
        <f t="shared" ref="Y11:Y26" si="2">+X11*AA11</f>
        <v>690200</v>
      </c>
      <c r="Z11" s="53">
        <f>+Y11*AB11</f>
        <v>2070600</v>
      </c>
      <c r="AA11" s="64">
        <v>1</v>
      </c>
      <c r="AB11" s="64">
        <v>3</v>
      </c>
      <c r="AC11" s="9">
        <f>AVERAGE(I11,N11,S11,X11)</f>
        <v>605403.57499999995</v>
      </c>
      <c r="AD11" s="9">
        <f>GEOMEAN(I11,N11,S11,X11)</f>
        <v>598288.03709865105</v>
      </c>
      <c r="AE11" s="9">
        <f>GEOMEAN(J11,O11,T11,Y11)</f>
        <v>598288.03709865105</v>
      </c>
      <c r="AF11" s="9">
        <f>GEOMEAN(K11,P11,U11,Z11)</f>
        <v>1794864.1112959532</v>
      </c>
      <c r="AG11" s="15"/>
      <c r="AH11" s="9">
        <f t="shared" ref="AH11:AH26" si="3">+I11</f>
        <v>688534</v>
      </c>
      <c r="AI11" s="46">
        <f t="shared" ref="AI11:AI26" si="4">+N11</f>
        <v>473620</v>
      </c>
      <c r="AJ11" s="46">
        <f t="shared" ref="AJ11:AJ26" si="5">+S11</f>
        <v>569260.30000000005</v>
      </c>
      <c r="AK11" s="46">
        <f>+X11</f>
        <v>690200</v>
      </c>
      <c r="AL11" s="94" t="s">
        <v>85</v>
      </c>
      <c r="AM11" s="94" t="s">
        <v>86</v>
      </c>
      <c r="AN11" s="95" t="s">
        <v>85</v>
      </c>
      <c r="AO11" s="95" t="s">
        <v>86</v>
      </c>
      <c r="AP11" s="95" t="s">
        <v>86</v>
      </c>
      <c r="AQ11" s="95" t="s">
        <v>86</v>
      </c>
      <c r="AR11" s="95" t="s">
        <v>86</v>
      </c>
      <c r="AS11" s="95" t="s">
        <v>86</v>
      </c>
      <c r="AT11" s="79"/>
      <c r="AU11" s="89">
        <f>_xlfn.QUARTILE.EXC(AH11:AK11,1)</f>
        <v>497530.07500000001</v>
      </c>
      <c r="AV11" s="89">
        <f>_xlfn.QUARTILE.EXC(AH11:AK11,3)</f>
        <v>689783.5</v>
      </c>
      <c r="AW11" s="89">
        <f>+AV11-AU11</f>
        <v>192253.42499999999</v>
      </c>
      <c r="AX11" s="46">
        <f>+AU11-AW11*1.5</f>
        <v>209149.93750000006</v>
      </c>
      <c r="AY11" s="46">
        <f>+AV11+AW11*1.5</f>
        <v>978163.63749999995</v>
      </c>
      <c r="AZ11" s="79"/>
      <c r="BA11" s="79"/>
      <c r="BB11" s="46">
        <f t="shared" ref="BB11:BB26" si="6">AVERAGE(AH11:AK11)</f>
        <v>605403.57499999995</v>
      </c>
      <c r="BC11" s="46">
        <f t="shared" ref="BC11:BC26" si="7">_xlfn.STDEV.P(AH11:AK11)</f>
        <v>90518.434891694546</v>
      </c>
      <c r="BD11" s="85">
        <f>+BC11/BB11</f>
        <v>0.1495175096904483</v>
      </c>
      <c r="BE11" s="89">
        <f t="shared" ref="BE11:BE26" si="8">+BB11*AA11</f>
        <v>605403.57499999995</v>
      </c>
      <c r="BF11" s="89">
        <f t="shared" ref="BF11:BF26" si="9">+BE11*AB11</f>
        <v>1816210.7249999999</v>
      </c>
      <c r="BG11" s="91"/>
      <c r="BH11" s="46">
        <v>688534</v>
      </c>
      <c r="BI11" s="85">
        <f>BB11/BH11-1</f>
        <v>-0.12073539578292436</v>
      </c>
      <c r="BJ11" s="79" t="s">
        <v>96</v>
      </c>
      <c r="BK11" s="96">
        <f t="shared" ref="BK11:BK19" si="10">GEOMEAN(AH11:AK11)</f>
        <v>598288.03709865105</v>
      </c>
      <c r="BL11" s="96">
        <f t="shared" ref="BL11:BL19" si="11">+SQRT(((AH11-BK11)^2+(AI11-BK11)^2+(AJ11-BK11)^2+(AK11-BK11)^2)/4)</f>
        <v>90797.675823048514</v>
      </c>
      <c r="BM11" s="102">
        <f>+BL11/BK11</f>
        <v>0.15176247926227043</v>
      </c>
      <c r="BN11" s="97">
        <f t="shared" ref="BN11:BN26" si="12">+BK11*AA11</f>
        <v>598288.03709865105</v>
      </c>
      <c r="BO11" s="97">
        <f t="shared" ref="BO11:BO26" si="13">+BN11*AB11</f>
        <v>1794864.1112959532</v>
      </c>
      <c r="BP11" s="79"/>
      <c r="BQ11" s="46">
        <v>688534</v>
      </c>
      <c r="BR11" s="85">
        <f t="shared" ref="BR11:BR19" si="14">BK11/BQ11-1</f>
        <v>-0.13106972626093838</v>
      </c>
      <c r="BS11" s="79"/>
      <c r="BT11" s="79"/>
      <c r="BU11" s="79"/>
      <c r="BV11" s="79"/>
      <c r="BW11" s="79"/>
      <c r="BX11" s="79"/>
      <c r="BY11" s="79"/>
      <c r="BZ11" s="79"/>
      <c r="CA11" s="79"/>
      <c r="CB11" s="79"/>
      <c r="CC11" s="79"/>
      <c r="CD11" s="79"/>
      <c r="CE11" s="79"/>
      <c r="CF11" s="79"/>
      <c r="CG11" s="79"/>
      <c r="CH11" s="79"/>
    </row>
    <row r="12" spans="1:86" s="47" customFormat="1" ht="103.5" customHeight="1" x14ac:dyDescent="0.2">
      <c r="A12" s="112">
        <v>2</v>
      </c>
      <c r="B12" s="292"/>
      <c r="C12" s="30" t="s">
        <v>27</v>
      </c>
      <c r="D12" s="30" t="s">
        <v>28</v>
      </c>
      <c r="E12" s="36"/>
      <c r="F12" s="56" t="s">
        <v>26</v>
      </c>
      <c r="G12" s="8">
        <v>610160</v>
      </c>
      <c r="H12" s="8">
        <f t="shared" ref="H12:H26" si="15">+G12*19%</f>
        <v>115930.4</v>
      </c>
      <c r="I12" s="8">
        <f t="shared" ref="I12:I26" si="16">+H12+G12</f>
        <v>726090.4</v>
      </c>
      <c r="J12" s="8">
        <f t="shared" ref="J12:K12" si="17">+I12*AA12</f>
        <v>726090.4</v>
      </c>
      <c r="K12" s="8">
        <f t="shared" si="17"/>
        <v>2178271.2000000002</v>
      </c>
      <c r="L12" s="8">
        <v>580000</v>
      </c>
      <c r="M12" s="8">
        <f t="shared" ref="M12:M21" si="18">+L12*19%</f>
        <v>110200</v>
      </c>
      <c r="N12" s="8">
        <f t="shared" ref="N12:N21" si="19">+M12+L12</f>
        <v>690200</v>
      </c>
      <c r="O12" s="8">
        <f t="shared" si="0"/>
        <v>690200</v>
      </c>
      <c r="P12" s="8">
        <f t="shared" ref="P12:P21" si="20">+O12*AB12</f>
        <v>2070600</v>
      </c>
      <c r="Q12" s="37">
        <v>558098</v>
      </c>
      <c r="R12" s="8">
        <f t="shared" ref="R12:R21" si="21">+Q12*19%</f>
        <v>106038.62</v>
      </c>
      <c r="S12" s="8">
        <f t="shared" ref="S12:S21" si="22">+R12+Q12</f>
        <v>664136.62</v>
      </c>
      <c r="T12" s="8">
        <f t="shared" si="1"/>
        <v>664136.62</v>
      </c>
      <c r="U12" s="8">
        <f t="shared" ref="U12:U21" si="23">+T12*AB12</f>
        <v>1992409.8599999999</v>
      </c>
      <c r="V12" s="53">
        <v>580000</v>
      </c>
      <c r="W12" s="53">
        <f t="shared" ref="W12:W26" si="24">+V12*19%</f>
        <v>110200</v>
      </c>
      <c r="X12" s="53">
        <f t="shared" ref="X12:X26" si="25">+V12+W12</f>
        <v>690200</v>
      </c>
      <c r="Y12" s="53">
        <f t="shared" si="2"/>
        <v>690200</v>
      </c>
      <c r="Z12" s="53">
        <f t="shared" ref="Z12:Z26" si="26">+Y12*AB12</f>
        <v>2070600</v>
      </c>
      <c r="AA12" s="64">
        <v>1</v>
      </c>
      <c r="AB12" s="64">
        <v>3</v>
      </c>
      <c r="AC12" s="9">
        <f t="shared" ref="AC12:AC26" si="27">AVERAGE(I12,N12,S12,X12)</f>
        <v>692656.755</v>
      </c>
      <c r="AD12" s="9">
        <f t="shared" ref="AD12:AD26" si="28">GEOMEAN(I12,N12,S12,X12)</f>
        <v>692308.25172787299</v>
      </c>
      <c r="AE12" s="9">
        <f t="shared" ref="AE12:AE26" si="29">GEOMEAN(J12,O12,T12,Y12)</f>
        <v>692308.25172787299</v>
      </c>
      <c r="AF12" s="9">
        <f t="shared" ref="AF12:AF26" si="30">GEOMEAN(K12,P12,U12,Z12)</f>
        <v>2076924.755183619</v>
      </c>
      <c r="AG12" s="15"/>
      <c r="AH12" s="9">
        <f t="shared" si="3"/>
        <v>726090.4</v>
      </c>
      <c r="AI12" s="46">
        <f t="shared" si="4"/>
        <v>690200</v>
      </c>
      <c r="AJ12" s="46">
        <f t="shared" si="5"/>
        <v>664136.62</v>
      </c>
      <c r="AK12" s="46">
        <f t="shared" ref="AK12:AK26" si="31">+X12</f>
        <v>690200</v>
      </c>
      <c r="AL12" s="94" t="s">
        <v>85</v>
      </c>
      <c r="AM12" s="94" t="s">
        <v>86</v>
      </c>
      <c r="AN12" s="95" t="s">
        <v>85</v>
      </c>
      <c r="AO12" s="95" t="s">
        <v>86</v>
      </c>
      <c r="AP12" s="95" t="s">
        <v>86</v>
      </c>
      <c r="AQ12" s="95" t="s">
        <v>86</v>
      </c>
      <c r="AR12" s="95" t="s">
        <v>86</v>
      </c>
      <c r="AS12" s="95" t="s">
        <v>86</v>
      </c>
      <c r="AT12" s="79"/>
      <c r="AU12" s="89">
        <f t="shared" ref="AU12:AU27" si="32">_xlfn.QUARTILE.EXC(AH12:AK12,1)</f>
        <v>670652.46499999997</v>
      </c>
      <c r="AV12" s="89">
        <f t="shared" ref="AV12:AV27" si="33">_xlfn.QUARTILE.EXC(AH12:AK12,3)</f>
        <v>717117.8</v>
      </c>
      <c r="AW12" s="89">
        <f t="shared" ref="AW12:AW37" si="34">+AV12-AU12</f>
        <v>46465.335000000079</v>
      </c>
      <c r="AX12" s="46">
        <f t="shared" ref="AX12:AX27" si="35">+AU12-AW12*1.5</f>
        <v>600954.46249999991</v>
      </c>
      <c r="AY12" s="46">
        <f t="shared" ref="AY12:AY27" si="36">+AV12+AW12*1.5</f>
        <v>786815.80250000022</v>
      </c>
      <c r="AZ12" s="79"/>
      <c r="BA12" s="79"/>
      <c r="BB12" s="46">
        <f t="shared" si="6"/>
        <v>692656.755</v>
      </c>
      <c r="BC12" s="46">
        <f t="shared" si="7"/>
        <v>22041.313530869149</v>
      </c>
      <c r="BD12" s="85">
        <f t="shared" ref="BD12:BD37" si="37">+BC12/BB12</f>
        <v>3.1821408470735481E-2</v>
      </c>
      <c r="BE12" s="89">
        <f t="shared" si="8"/>
        <v>692656.755</v>
      </c>
      <c r="BF12" s="89">
        <f t="shared" si="9"/>
        <v>2077970.2650000001</v>
      </c>
      <c r="BG12" s="79"/>
      <c r="BH12" s="46">
        <v>726090.4</v>
      </c>
      <c r="BI12" s="85">
        <f t="shared" ref="BI12:BI26" si="38">BB12/BH12-1</f>
        <v>-4.6046119050740852E-2</v>
      </c>
      <c r="BJ12" s="79"/>
      <c r="BK12" s="96">
        <f t="shared" si="10"/>
        <v>692308.25172787299</v>
      </c>
      <c r="BL12" s="96">
        <f t="shared" si="11"/>
        <v>22044.068515062248</v>
      </c>
      <c r="BM12" s="102">
        <f t="shared" ref="BM12:BM37" si="39">+BL12/BK12</f>
        <v>3.1841406570042093E-2</v>
      </c>
      <c r="BN12" s="97">
        <f t="shared" si="12"/>
        <v>692308.25172787299</v>
      </c>
      <c r="BO12" s="97">
        <f t="shared" si="13"/>
        <v>2076924.755183619</v>
      </c>
      <c r="BP12" s="79"/>
      <c r="BQ12" s="46">
        <v>726090.4</v>
      </c>
      <c r="BR12" s="85">
        <f t="shared" si="14"/>
        <v>-4.6526091340867493E-2</v>
      </c>
      <c r="BS12" s="79"/>
      <c r="BT12" s="79"/>
      <c r="BU12" s="79"/>
      <c r="BV12" s="79"/>
      <c r="BW12" s="79"/>
      <c r="BX12" s="79"/>
      <c r="BY12" s="79"/>
      <c r="BZ12" s="79"/>
      <c r="CA12" s="79"/>
      <c r="CB12" s="79"/>
      <c r="CC12" s="79"/>
      <c r="CD12" s="79"/>
      <c r="CE12" s="79"/>
      <c r="CF12" s="79"/>
      <c r="CG12" s="79"/>
      <c r="CH12" s="79"/>
    </row>
    <row r="13" spans="1:86" s="47" customFormat="1" ht="103.5" customHeight="1" x14ac:dyDescent="0.2">
      <c r="A13" s="112">
        <v>3</v>
      </c>
      <c r="B13" s="292"/>
      <c r="C13" s="30" t="s">
        <v>29</v>
      </c>
      <c r="D13" s="30" t="s">
        <v>28</v>
      </c>
      <c r="E13" s="36"/>
      <c r="F13" s="56" t="s">
        <v>26</v>
      </c>
      <c r="G13" s="8">
        <v>610160</v>
      </c>
      <c r="H13" s="8">
        <f t="shared" si="15"/>
        <v>115930.4</v>
      </c>
      <c r="I13" s="8">
        <f t="shared" si="16"/>
        <v>726090.4</v>
      </c>
      <c r="J13" s="8">
        <f t="shared" ref="J13:K13" si="40">+I13*AA13</f>
        <v>726090.4</v>
      </c>
      <c r="K13" s="8">
        <f t="shared" si="40"/>
        <v>2178271.2000000002</v>
      </c>
      <c r="L13" s="8">
        <v>480000</v>
      </c>
      <c r="M13" s="8">
        <f t="shared" si="18"/>
        <v>91200</v>
      </c>
      <c r="N13" s="8">
        <f t="shared" si="19"/>
        <v>571200</v>
      </c>
      <c r="O13" s="8">
        <f t="shared" si="0"/>
        <v>571200</v>
      </c>
      <c r="P13" s="8">
        <f t="shared" si="20"/>
        <v>1713600</v>
      </c>
      <c r="Q13" s="37">
        <v>558098</v>
      </c>
      <c r="R13" s="8">
        <f t="shared" si="21"/>
        <v>106038.62</v>
      </c>
      <c r="S13" s="8">
        <f t="shared" si="22"/>
        <v>664136.62</v>
      </c>
      <c r="T13" s="8">
        <f t="shared" si="1"/>
        <v>664136.62</v>
      </c>
      <c r="U13" s="8">
        <f t="shared" si="23"/>
        <v>1992409.8599999999</v>
      </c>
      <c r="V13" s="53">
        <v>580000</v>
      </c>
      <c r="W13" s="53">
        <f t="shared" si="24"/>
        <v>110200</v>
      </c>
      <c r="X13" s="53">
        <f t="shared" si="25"/>
        <v>690200</v>
      </c>
      <c r="Y13" s="53">
        <f t="shared" si="2"/>
        <v>690200</v>
      </c>
      <c r="Z13" s="53">
        <f t="shared" si="26"/>
        <v>2070600</v>
      </c>
      <c r="AA13" s="64">
        <v>1</v>
      </c>
      <c r="AB13" s="64">
        <v>3</v>
      </c>
      <c r="AC13" s="9">
        <f t="shared" si="27"/>
        <v>662906.755</v>
      </c>
      <c r="AD13" s="9">
        <f t="shared" si="28"/>
        <v>660317.51785779791</v>
      </c>
      <c r="AE13" s="9">
        <f t="shared" si="29"/>
        <v>660317.51785779791</v>
      </c>
      <c r="AF13" s="9">
        <f t="shared" si="30"/>
        <v>1980952.5535733937</v>
      </c>
      <c r="AG13" s="15"/>
      <c r="AH13" s="9">
        <f t="shared" si="3"/>
        <v>726090.4</v>
      </c>
      <c r="AI13" s="46">
        <f t="shared" si="4"/>
        <v>571200</v>
      </c>
      <c r="AJ13" s="46">
        <f t="shared" si="5"/>
        <v>664136.62</v>
      </c>
      <c r="AK13" s="46">
        <f t="shared" si="31"/>
        <v>690200</v>
      </c>
      <c r="AL13" s="94" t="s">
        <v>85</v>
      </c>
      <c r="AM13" s="94" t="s">
        <v>86</v>
      </c>
      <c r="AN13" s="95" t="s">
        <v>85</v>
      </c>
      <c r="AO13" s="95" t="s">
        <v>86</v>
      </c>
      <c r="AP13" s="95" t="s">
        <v>86</v>
      </c>
      <c r="AQ13" s="95" t="s">
        <v>86</v>
      </c>
      <c r="AR13" s="95" t="s">
        <v>86</v>
      </c>
      <c r="AS13" s="95" t="s">
        <v>86</v>
      </c>
      <c r="AT13" s="79"/>
      <c r="AU13" s="89">
        <f t="shared" si="32"/>
        <v>594434.15500000003</v>
      </c>
      <c r="AV13" s="89">
        <f t="shared" si="33"/>
        <v>717117.8</v>
      </c>
      <c r="AW13" s="89">
        <f t="shared" si="34"/>
        <v>122683.64500000002</v>
      </c>
      <c r="AX13" s="46">
        <f t="shared" si="35"/>
        <v>410408.6875</v>
      </c>
      <c r="AY13" s="46">
        <f t="shared" si="36"/>
        <v>901143.26750000007</v>
      </c>
      <c r="AZ13" s="79"/>
      <c r="BA13" s="79"/>
      <c r="BB13" s="46">
        <f t="shared" si="6"/>
        <v>662906.755</v>
      </c>
      <c r="BC13" s="46">
        <f t="shared" si="7"/>
        <v>57333.968331749682</v>
      </c>
      <c r="BD13" s="85">
        <f t="shared" si="37"/>
        <v>8.6488737517465303E-2</v>
      </c>
      <c r="BE13" s="89">
        <f t="shared" si="8"/>
        <v>662906.755</v>
      </c>
      <c r="BF13" s="89">
        <f t="shared" si="9"/>
        <v>1988720.2650000001</v>
      </c>
      <c r="BG13" s="79"/>
      <c r="BH13" s="46">
        <v>726090.4</v>
      </c>
      <c r="BI13" s="85">
        <f t="shared" si="38"/>
        <v>-8.7018978628556454E-2</v>
      </c>
      <c r="BJ13" s="79"/>
      <c r="BK13" s="96">
        <f t="shared" si="10"/>
        <v>660317.51785779791</v>
      </c>
      <c r="BL13" s="96">
        <f t="shared" si="11"/>
        <v>57392.404320124406</v>
      </c>
      <c r="BM13" s="102">
        <f t="shared" si="39"/>
        <v>8.691637396856719E-2</v>
      </c>
      <c r="BN13" s="97">
        <f t="shared" si="12"/>
        <v>660317.51785779791</v>
      </c>
      <c r="BO13" s="97">
        <f t="shared" si="13"/>
        <v>1980952.5535733937</v>
      </c>
      <c r="BP13" s="79"/>
      <c r="BQ13" s="46">
        <v>726090.4</v>
      </c>
      <c r="BR13" s="85">
        <f t="shared" si="14"/>
        <v>-9.0584976942543416E-2</v>
      </c>
      <c r="BS13" s="79"/>
      <c r="BT13" s="79"/>
      <c r="BU13" s="79"/>
      <c r="BV13" s="79"/>
      <c r="BW13" s="79"/>
      <c r="BX13" s="79"/>
      <c r="BY13" s="79"/>
      <c r="BZ13" s="79"/>
      <c r="CA13" s="79"/>
      <c r="CB13" s="79"/>
      <c r="CC13" s="79"/>
      <c r="CD13" s="79"/>
      <c r="CE13" s="79"/>
      <c r="CF13" s="79"/>
      <c r="CG13" s="79"/>
      <c r="CH13" s="79"/>
    </row>
    <row r="14" spans="1:86" s="47" customFormat="1" ht="103.5" customHeight="1" x14ac:dyDescent="0.2">
      <c r="A14" s="112">
        <v>4</v>
      </c>
      <c r="B14" s="293"/>
      <c r="C14" s="31" t="s">
        <v>30</v>
      </c>
      <c r="D14" s="31" t="s">
        <v>28</v>
      </c>
      <c r="E14" s="34"/>
      <c r="F14" s="57" t="s">
        <v>26</v>
      </c>
      <c r="G14" s="8">
        <v>610160</v>
      </c>
      <c r="H14" s="8">
        <f t="shared" si="15"/>
        <v>115930.4</v>
      </c>
      <c r="I14" s="8">
        <f t="shared" si="16"/>
        <v>726090.4</v>
      </c>
      <c r="J14" s="8">
        <f t="shared" ref="J14:K14" si="41">+I14*AA14</f>
        <v>726090.4</v>
      </c>
      <c r="K14" s="8">
        <f t="shared" si="41"/>
        <v>2178271.2000000002</v>
      </c>
      <c r="L14" s="8">
        <v>480000</v>
      </c>
      <c r="M14" s="8">
        <f t="shared" si="18"/>
        <v>91200</v>
      </c>
      <c r="N14" s="8">
        <f t="shared" si="19"/>
        <v>571200</v>
      </c>
      <c r="O14" s="8">
        <f t="shared" si="0"/>
        <v>571200</v>
      </c>
      <c r="P14" s="8">
        <f t="shared" si="20"/>
        <v>1713600</v>
      </c>
      <c r="Q14" s="37">
        <v>558098</v>
      </c>
      <c r="R14" s="8">
        <f t="shared" si="21"/>
        <v>106038.62</v>
      </c>
      <c r="S14" s="8">
        <f t="shared" si="22"/>
        <v>664136.62</v>
      </c>
      <c r="T14" s="8">
        <f t="shared" si="1"/>
        <v>664136.62</v>
      </c>
      <c r="U14" s="8">
        <f t="shared" si="23"/>
        <v>1992409.8599999999</v>
      </c>
      <c r="V14" s="53">
        <v>580000</v>
      </c>
      <c r="W14" s="53">
        <f t="shared" si="24"/>
        <v>110200</v>
      </c>
      <c r="X14" s="53">
        <f t="shared" si="25"/>
        <v>690200</v>
      </c>
      <c r="Y14" s="53">
        <f t="shared" si="2"/>
        <v>690200</v>
      </c>
      <c r="Z14" s="53">
        <f t="shared" si="26"/>
        <v>2070600</v>
      </c>
      <c r="AA14" s="65">
        <v>1</v>
      </c>
      <c r="AB14" s="65">
        <v>3</v>
      </c>
      <c r="AC14" s="9">
        <f t="shared" si="27"/>
        <v>662906.755</v>
      </c>
      <c r="AD14" s="9">
        <f t="shared" si="28"/>
        <v>660317.51785779791</v>
      </c>
      <c r="AE14" s="9">
        <f t="shared" si="29"/>
        <v>660317.51785779791</v>
      </c>
      <c r="AF14" s="9">
        <f t="shared" si="30"/>
        <v>1980952.5535733937</v>
      </c>
      <c r="AG14" s="15"/>
      <c r="AH14" s="9">
        <f t="shared" si="3"/>
        <v>726090.4</v>
      </c>
      <c r="AI14" s="46">
        <f t="shared" si="4"/>
        <v>571200</v>
      </c>
      <c r="AJ14" s="46">
        <f t="shared" si="5"/>
        <v>664136.62</v>
      </c>
      <c r="AK14" s="46">
        <f t="shared" si="31"/>
        <v>690200</v>
      </c>
      <c r="AL14" s="94" t="s">
        <v>85</v>
      </c>
      <c r="AM14" s="94" t="s">
        <v>86</v>
      </c>
      <c r="AN14" s="95" t="s">
        <v>85</v>
      </c>
      <c r="AO14" s="95" t="s">
        <v>86</v>
      </c>
      <c r="AP14" s="95" t="s">
        <v>86</v>
      </c>
      <c r="AQ14" s="95" t="s">
        <v>86</v>
      </c>
      <c r="AR14" s="95" t="s">
        <v>86</v>
      </c>
      <c r="AS14" s="95" t="s">
        <v>86</v>
      </c>
      <c r="AT14" s="79"/>
      <c r="AU14" s="89">
        <f t="shared" si="32"/>
        <v>594434.15500000003</v>
      </c>
      <c r="AV14" s="89">
        <f t="shared" si="33"/>
        <v>717117.8</v>
      </c>
      <c r="AW14" s="89">
        <f t="shared" si="34"/>
        <v>122683.64500000002</v>
      </c>
      <c r="AX14" s="46">
        <f t="shared" si="35"/>
        <v>410408.6875</v>
      </c>
      <c r="AY14" s="46">
        <f t="shared" si="36"/>
        <v>901143.26750000007</v>
      </c>
      <c r="AZ14" s="79"/>
      <c r="BA14" s="79"/>
      <c r="BB14" s="46">
        <f t="shared" si="6"/>
        <v>662906.755</v>
      </c>
      <c r="BC14" s="46">
        <f t="shared" si="7"/>
        <v>57333.968331749682</v>
      </c>
      <c r="BD14" s="85">
        <f t="shared" si="37"/>
        <v>8.6488737517465303E-2</v>
      </c>
      <c r="BE14" s="89">
        <f t="shared" si="8"/>
        <v>662906.755</v>
      </c>
      <c r="BF14" s="89">
        <f t="shared" si="9"/>
        <v>1988720.2650000001</v>
      </c>
      <c r="BG14" s="79"/>
      <c r="BH14" s="46">
        <v>726090.4</v>
      </c>
      <c r="BI14" s="85">
        <f t="shared" si="38"/>
        <v>-8.7018978628556454E-2</v>
      </c>
      <c r="BJ14" s="79"/>
      <c r="BK14" s="96">
        <f t="shared" si="10"/>
        <v>660317.51785779791</v>
      </c>
      <c r="BL14" s="96">
        <f t="shared" si="11"/>
        <v>57392.404320124406</v>
      </c>
      <c r="BM14" s="102">
        <f t="shared" si="39"/>
        <v>8.691637396856719E-2</v>
      </c>
      <c r="BN14" s="97">
        <f t="shared" si="12"/>
        <v>660317.51785779791</v>
      </c>
      <c r="BO14" s="97">
        <f t="shared" si="13"/>
        <v>1980952.5535733937</v>
      </c>
      <c r="BP14" s="79"/>
      <c r="BQ14" s="46">
        <v>726090.4</v>
      </c>
      <c r="BR14" s="85">
        <f t="shared" si="14"/>
        <v>-9.0584976942543416E-2</v>
      </c>
      <c r="BS14" s="79"/>
      <c r="BT14" s="79"/>
      <c r="BU14" s="79"/>
      <c r="BV14" s="79"/>
      <c r="BW14" s="79"/>
      <c r="BX14" s="79"/>
      <c r="BY14" s="79"/>
      <c r="BZ14" s="79"/>
      <c r="CA14" s="79"/>
      <c r="CB14" s="79"/>
      <c r="CC14" s="79"/>
      <c r="CD14" s="79"/>
      <c r="CE14" s="79"/>
      <c r="CF14" s="79"/>
      <c r="CG14" s="79"/>
      <c r="CH14" s="79"/>
    </row>
    <row r="15" spans="1:86" s="47" customFormat="1" ht="103.5" customHeight="1" x14ac:dyDescent="0.2">
      <c r="A15" s="112">
        <v>5</v>
      </c>
      <c r="B15" s="295" t="s">
        <v>31</v>
      </c>
      <c r="C15" s="30" t="s">
        <v>32</v>
      </c>
      <c r="D15" s="30" t="s">
        <v>28</v>
      </c>
      <c r="E15" s="36"/>
      <c r="F15" s="56" t="s">
        <v>26</v>
      </c>
      <c r="G15" s="8">
        <v>479712</v>
      </c>
      <c r="H15" s="8">
        <f t="shared" si="15"/>
        <v>91145.279999999999</v>
      </c>
      <c r="I15" s="8">
        <f t="shared" si="16"/>
        <v>570857.28</v>
      </c>
      <c r="J15" s="8">
        <f t="shared" ref="J15:K15" si="42">+I15*AA15</f>
        <v>570857.28</v>
      </c>
      <c r="K15" s="8">
        <f t="shared" si="42"/>
        <v>1712571.84</v>
      </c>
      <c r="L15" s="8">
        <v>633000</v>
      </c>
      <c r="M15" s="8">
        <f t="shared" si="18"/>
        <v>120270</v>
      </c>
      <c r="N15" s="8">
        <f t="shared" si="19"/>
        <v>753270</v>
      </c>
      <c r="O15" s="8">
        <f t="shared" si="0"/>
        <v>753270</v>
      </c>
      <c r="P15" s="8">
        <f t="shared" si="20"/>
        <v>2259810</v>
      </c>
      <c r="Q15" s="37">
        <v>558098</v>
      </c>
      <c r="R15" s="8">
        <f t="shared" si="21"/>
        <v>106038.62</v>
      </c>
      <c r="S15" s="8">
        <f t="shared" si="22"/>
        <v>664136.62</v>
      </c>
      <c r="T15" s="8">
        <f t="shared" si="1"/>
        <v>664136.62</v>
      </c>
      <c r="U15" s="8">
        <f t="shared" si="23"/>
        <v>1992409.8599999999</v>
      </c>
      <c r="V15" s="53">
        <v>460000</v>
      </c>
      <c r="W15" s="53">
        <f t="shared" si="24"/>
        <v>87400</v>
      </c>
      <c r="X15" s="53">
        <f t="shared" si="25"/>
        <v>547400</v>
      </c>
      <c r="Y15" s="53">
        <f t="shared" si="2"/>
        <v>547400</v>
      </c>
      <c r="Z15" s="53">
        <f t="shared" si="26"/>
        <v>1642200</v>
      </c>
      <c r="AA15" s="64">
        <v>1</v>
      </c>
      <c r="AB15" s="64">
        <v>3</v>
      </c>
      <c r="AC15" s="9">
        <f t="shared" si="27"/>
        <v>633915.97499999998</v>
      </c>
      <c r="AD15" s="9">
        <f t="shared" si="28"/>
        <v>628796.49031414289</v>
      </c>
      <c r="AE15" s="9">
        <f t="shared" si="29"/>
        <v>628796.49031414289</v>
      </c>
      <c r="AF15" s="9">
        <f t="shared" si="30"/>
        <v>1886389.4709424288</v>
      </c>
      <c r="AG15" s="15"/>
      <c r="AH15" s="9">
        <f t="shared" si="3"/>
        <v>570857.28</v>
      </c>
      <c r="AI15" s="46">
        <f t="shared" si="4"/>
        <v>753270</v>
      </c>
      <c r="AJ15" s="46">
        <f t="shared" si="5"/>
        <v>664136.62</v>
      </c>
      <c r="AK15" s="46">
        <f t="shared" si="31"/>
        <v>547400</v>
      </c>
      <c r="AL15" s="94" t="s">
        <v>85</v>
      </c>
      <c r="AM15" s="94" t="s">
        <v>86</v>
      </c>
      <c r="AN15" s="95" t="s">
        <v>85</v>
      </c>
      <c r="AO15" s="95" t="s">
        <v>86</v>
      </c>
      <c r="AP15" s="95" t="s">
        <v>86</v>
      </c>
      <c r="AQ15" s="95" t="s">
        <v>86</v>
      </c>
      <c r="AR15" s="95" t="s">
        <v>86</v>
      </c>
      <c r="AS15" s="95" t="s">
        <v>86</v>
      </c>
      <c r="AT15" s="79"/>
      <c r="AU15" s="89">
        <f t="shared" si="32"/>
        <v>553264.32000000007</v>
      </c>
      <c r="AV15" s="89">
        <f t="shared" si="33"/>
        <v>730986.65500000003</v>
      </c>
      <c r="AW15" s="89">
        <f t="shared" si="34"/>
        <v>177722.33499999996</v>
      </c>
      <c r="AX15" s="46">
        <f t="shared" si="35"/>
        <v>286680.81750000012</v>
      </c>
      <c r="AY15" s="46">
        <f t="shared" si="36"/>
        <v>997570.15749999997</v>
      </c>
      <c r="AZ15" s="79"/>
      <c r="BA15" s="79"/>
      <c r="BB15" s="46">
        <f t="shared" si="6"/>
        <v>633915.97499999998</v>
      </c>
      <c r="BC15" s="46">
        <f t="shared" si="7"/>
        <v>81578.311476182906</v>
      </c>
      <c r="BD15" s="85">
        <f t="shared" si="37"/>
        <v>0.12868947099208677</v>
      </c>
      <c r="BE15" s="89">
        <f t="shared" si="8"/>
        <v>633915.97499999998</v>
      </c>
      <c r="BF15" s="89">
        <f t="shared" si="9"/>
        <v>1901747.9249999998</v>
      </c>
      <c r="BG15" s="79"/>
      <c r="BH15" s="46">
        <v>570857.28</v>
      </c>
      <c r="BI15" s="85">
        <f t="shared" si="38"/>
        <v>0.11046315289173503</v>
      </c>
      <c r="BJ15" s="79"/>
      <c r="BK15" s="96">
        <f t="shared" si="10"/>
        <v>628796.49031414289</v>
      </c>
      <c r="BL15" s="96">
        <f t="shared" si="11"/>
        <v>81738.791444171729</v>
      </c>
      <c r="BM15" s="102">
        <f t="shared" si="39"/>
        <v>0.12999244223410905</v>
      </c>
      <c r="BN15" s="97">
        <f t="shared" si="12"/>
        <v>628796.49031414289</v>
      </c>
      <c r="BO15" s="97">
        <f t="shared" si="13"/>
        <v>1886389.4709424288</v>
      </c>
      <c r="BP15" s="79"/>
      <c r="BQ15" s="46">
        <v>570857.28</v>
      </c>
      <c r="BR15" s="85">
        <f t="shared" si="14"/>
        <v>0.10149508877970836</v>
      </c>
      <c r="BS15" s="79"/>
      <c r="BT15" s="79"/>
      <c r="BU15" s="79"/>
      <c r="BV15" s="79"/>
      <c r="BW15" s="79"/>
      <c r="BX15" s="79"/>
      <c r="BY15" s="79"/>
      <c r="BZ15" s="79"/>
      <c r="CA15" s="79"/>
      <c r="CB15" s="79"/>
      <c r="CC15" s="79"/>
      <c r="CD15" s="79"/>
      <c r="CE15" s="79"/>
      <c r="CF15" s="79"/>
      <c r="CG15" s="79"/>
      <c r="CH15" s="79"/>
    </row>
    <row r="16" spans="1:86" s="47" customFormat="1" ht="103.5" customHeight="1" x14ac:dyDescent="0.2">
      <c r="A16" s="30">
        <v>6</v>
      </c>
      <c r="B16" s="296"/>
      <c r="C16" s="30" t="s">
        <v>33</v>
      </c>
      <c r="D16" s="30" t="s">
        <v>28</v>
      </c>
      <c r="E16" s="36"/>
      <c r="F16" s="56" t="s">
        <v>26</v>
      </c>
      <c r="G16" s="8">
        <v>479712</v>
      </c>
      <c r="H16" s="8">
        <f t="shared" si="15"/>
        <v>91145.279999999999</v>
      </c>
      <c r="I16" s="8">
        <f t="shared" si="16"/>
        <v>570857.28</v>
      </c>
      <c r="J16" s="8">
        <f t="shared" ref="J16:K16" si="43">+I16*AA16</f>
        <v>570857.28</v>
      </c>
      <c r="K16" s="8">
        <f t="shared" si="43"/>
        <v>1712571.84</v>
      </c>
      <c r="L16" s="8">
        <v>633000</v>
      </c>
      <c r="M16" s="8">
        <f t="shared" si="18"/>
        <v>120270</v>
      </c>
      <c r="N16" s="8">
        <f t="shared" si="19"/>
        <v>753270</v>
      </c>
      <c r="O16" s="8">
        <f t="shared" si="0"/>
        <v>753270</v>
      </c>
      <c r="P16" s="8">
        <f t="shared" si="20"/>
        <v>2259810</v>
      </c>
      <c r="Q16" s="37">
        <v>558098</v>
      </c>
      <c r="R16" s="8">
        <f t="shared" si="21"/>
        <v>106038.62</v>
      </c>
      <c r="S16" s="8">
        <f t="shared" si="22"/>
        <v>664136.62</v>
      </c>
      <c r="T16" s="8">
        <f t="shared" si="1"/>
        <v>664136.62</v>
      </c>
      <c r="U16" s="8">
        <f t="shared" si="23"/>
        <v>1992409.8599999999</v>
      </c>
      <c r="V16" s="53">
        <v>460000</v>
      </c>
      <c r="W16" s="53">
        <f t="shared" si="24"/>
        <v>87400</v>
      </c>
      <c r="X16" s="53">
        <f t="shared" si="25"/>
        <v>547400</v>
      </c>
      <c r="Y16" s="53">
        <f t="shared" si="2"/>
        <v>547400</v>
      </c>
      <c r="Z16" s="53">
        <f t="shared" si="26"/>
        <v>1642200</v>
      </c>
      <c r="AA16" s="64">
        <v>1</v>
      </c>
      <c r="AB16" s="64">
        <v>3</v>
      </c>
      <c r="AC16" s="9">
        <f t="shared" si="27"/>
        <v>633915.97499999998</v>
      </c>
      <c r="AD16" s="9">
        <f t="shared" si="28"/>
        <v>628796.49031414289</v>
      </c>
      <c r="AE16" s="9">
        <f t="shared" si="29"/>
        <v>628796.49031414289</v>
      </c>
      <c r="AF16" s="9">
        <f t="shared" si="30"/>
        <v>1886389.4709424288</v>
      </c>
      <c r="AG16" s="15"/>
      <c r="AH16" s="9">
        <f t="shared" si="3"/>
        <v>570857.28</v>
      </c>
      <c r="AI16" s="46">
        <f t="shared" si="4"/>
        <v>753270</v>
      </c>
      <c r="AJ16" s="46">
        <f t="shared" si="5"/>
        <v>664136.62</v>
      </c>
      <c r="AK16" s="46">
        <f t="shared" si="31"/>
        <v>547400</v>
      </c>
      <c r="AL16" s="94" t="s">
        <v>85</v>
      </c>
      <c r="AM16" s="94" t="s">
        <v>86</v>
      </c>
      <c r="AN16" s="95" t="s">
        <v>85</v>
      </c>
      <c r="AO16" s="95" t="s">
        <v>86</v>
      </c>
      <c r="AP16" s="95" t="s">
        <v>86</v>
      </c>
      <c r="AQ16" s="95" t="s">
        <v>86</v>
      </c>
      <c r="AR16" s="95" t="s">
        <v>86</v>
      </c>
      <c r="AS16" s="95" t="s">
        <v>86</v>
      </c>
      <c r="AT16" s="79"/>
      <c r="AU16" s="89">
        <f t="shared" si="32"/>
        <v>553264.32000000007</v>
      </c>
      <c r="AV16" s="89">
        <f t="shared" si="33"/>
        <v>730986.65500000003</v>
      </c>
      <c r="AW16" s="89">
        <f t="shared" si="34"/>
        <v>177722.33499999996</v>
      </c>
      <c r="AX16" s="46">
        <f t="shared" si="35"/>
        <v>286680.81750000012</v>
      </c>
      <c r="AY16" s="46">
        <f t="shared" si="36"/>
        <v>997570.15749999997</v>
      </c>
      <c r="AZ16" s="79"/>
      <c r="BA16" s="79"/>
      <c r="BB16" s="46">
        <f t="shared" si="6"/>
        <v>633915.97499999998</v>
      </c>
      <c r="BC16" s="46">
        <f t="shared" si="7"/>
        <v>81578.311476182906</v>
      </c>
      <c r="BD16" s="85">
        <f t="shared" si="37"/>
        <v>0.12868947099208677</v>
      </c>
      <c r="BE16" s="89">
        <f t="shared" si="8"/>
        <v>633915.97499999998</v>
      </c>
      <c r="BF16" s="89">
        <f t="shared" si="9"/>
        <v>1901747.9249999998</v>
      </c>
      <c r="BG16" s="79"/>
      <c r="BH16" s="46">
        <v>570857.28</v>
      </c>
      <c r="BI16" s="85">
        <f t="shared" si="38"/>
        <v>0.11046315289173503</v>
      </c>
      <c r="BJ16" s="79"/>
      <c r="BK16" s="96">
        <f t="shared" si="10"/>
        <v>628796.49031414289</v>
      </c>
      <c r="BL16" s="96">
        <f t="shared" si="11"/>
        <v>81738.791444171729</v>
      </c>
      <c r="BM16" s="102">
        <f t="shared" si="39"/>
        <v>0.12999244223410905</v>
      </c>
      <c r="BN16" s="97">
        <f t="shared" si="12"/>
        <v>628796.49031414289</v>
      </c>
      <c r="BO16" s="97">
        <f t="shared" si="13"/>
        <v>1886389.4709424288</v>
      </c>
      <c r="BP16" s="79"/>
      <c r="BQ16" s="46">
        <v>570857.28</v>
      </c>
      <c r="BR16" s="85">
        <f t="shared" si="14"/>
        <v>0.10149508877970836</v>
      </c>
      <c r="BS16" s="79"/>
      <c r="BT16" s="79"/>
      <c r="BU16" s="79"/>
      <c r="BV16" s="79"/>
      <c r="BW16" s="79"/>
      <c r="BX16" s="79"/>
      <c r="BY16" s="79"/>
      <c r="BZ16" s="79"/>
      <c r="CA16" s="79"/>
      <c r="CB16" s="79"/>
      <c r="CC16" s="79"/>
      <c r="CD16" s="79"/>
      <c r="CE16" s="79"/>
      <c r="CF16" s="79"/>
      <c r="CG16" s="79"/>
      <c r="CH16" s="79"/>
    </row>
    <row r="17" spans="1:86" s="47" customFormat="1" ht="103.5" customHeight="1" x14ac:dyDescent="0.2">
      <c r="A17" s="30">
        <v>7</v>
      </c>
      <c r="B17" s="296"/>
      <c r="C17" s="30" t="s">
        <v>34</v>
      </c>
      <c r="D17" s="30" t="s">
        <v>28</v>
      </c>
      <c r="E17" s="36"/>
      <c r="F17" s="56" t="s">
        <v>26</v>
      </c>
      <c r="G17" s="8">
        <v>479712</v>
      </c>
      <c r="H17" s="8">
        <f t="shared" si="15"/>
        <v>91145.279999999999</v>
      </c>
      <c r="I17" s="8">
        <f t="shared" si="16"/>
        <v>570857.28</v>
      </c>
      <c r="J17" s="8">
        <f t="shared" ref="J17:K17" si="44">+I17*AA17</f>
        <v>570857.28</v>
      </c>
      <c r="K17" s="8">
        <f t="shared" si="44"/>
        <v>1712571.84</v>
      </c>
      <c r="L17" s="8">
        <v>550000</v>
      </c>
      <c r="M17" s="8">
        <f t="shared" si="18"/>
        <v>104500</v>
      </c>
      <c r="N17" s="8">
        <f t="shared" si="19"/>
        <v>654500</v>
      </c>
      <c r="O17" s="8">
        <f t="shared" si="0"/>
        <v>654500</v>
      </c>
      <c r="P17" s="8">
        <f t="shared" si="20"/>
        <v>1963500</v>
      </c>
      <c r="Q17" s="37">
        <v>558098</v>
      </c>
      <c r="R17" s="8">
        <f t="shared" si="21"/>
        <v>106038.62</v>
      </c>
      <c r="S17" s="8">
        <f t="shared" si="22"/>
        <v>664136.62</v>
      </c>
      <c r="T17" s="8">
        <f t="shared" si="1"/>
        <v>664136.62</v>
      </c>
      <c r="U17" s="8">
        <f t="shared" si="23"/>
        <v>1992409.8599999999</v>
      </c>
      <c r="V17" s="53">
        <v>460000</v>
      </c>
      <c r="W17" s="53">
        <f t="shared" si="24"/>
        <v>87400</v>
      </c>
      <c r="X17" s="53">
        <f t="shared" si="25"/>
        <v>547400</v>
      </c>
      <c r="Y17" s="53">
        <f t="shared" si="2"/>
        <v>547400</v>
      </c>
      <c r="Z17" s="53">
        <f t="shared" si="26"/>
        <v>1642200</v>
      </c>
      <c r="AA17" s="64">
        <v>1</v>
      </c>
      <c r="AB17" s="64">
        <v>3</v>
      </c>
      <c r="AC17" s="9">
        <f t="shared" si="27"/>
        <v>609223.47499999998</v>
      </c>
      <c r="AD17" s="9">
        <f t="shared" si="28"/>
        <v>607085.49134674936</v>
      </c>
      <c r="AE17" s="9">
        <f t="shared" si="29"/>
        <v>607085.49134674936</v>
      </c>
      <c r="AF17" s="9">
        <f t="shared" si="30"/>
        <v>1821256.4740402482</v>
      </c>
      <c r="AG17" s="15"/>
      <c r="AH17" s="9">
        <f t="shared" si="3"/>
        <v>570857.28</v>
      </c>
      <c r="AI17" s="46">
        <f t="shared" si="4"/>
        <v>654500</v>
      </c>
      <c r="AJ17" s="46">
        <f t="shared" si="5"/>
        <v>664136.62</v>
      </c>
      <c r="AK17" s="46">
        <f t="shared" si="31"/>
        <v>547400</v>
      </c>
      <c r="AL17" s="94" t="s">
        <v>85</v>
      </c>
      <c r="AM17" s="94" t="s">
        <v>86</v>
      </c>
      <c r="AN17" s="95" t="s">
        <v>85</v>
      </c>
      <c r="AO17" s="95" t="s">
        <v>86</v>
      </c>
      <c r="AP17" s="95" t="s">
        <v>86</v>
      </c>
      <c r="AQ17" s="95" t="s">
        <v>86</v>
      </c>
      <c r="AR17" s="95" t="s">
        <v>86</v>
      </c>
      <c r="AS17" s="95" t="s">
        <v>86</v>
      </c>
      <c r="AT17" s="79"/>
      <c r="AU17" s="89">
        <f t="shared" si="32"/>
        <v>553264.32000000007</v>
      </c>
      <c r="AV17" s="89">
        <f t="shared" si="33"/>
        <v>661727.46499999997</v>
      </c>
      <c r="AW17" s="89">
        <f t="shared" si="34"/>
        <v>108463.1449999999</v>
      </c>
      <c r="AX17" s="46">
        <f t="shared" si="35"/>
        <v>390569.60250000021</v>
      </c>
      <c r="AY17" s="46">
        <f t="shared" si="36"/>
        <v>824422.18249999988</v>
      </c>
      <c r="AZ17" s="79"/>
      <c r="BA17" s="79"/>
      <c r="BB17" s="46">
        <f t="shared" si="6"/>
        <v>609223.47499999998</v>
      </c>
      <c r="BC17" s="46">
        <f t="shared" si="7"/>
        <v>50890.873911046903</v>
      </c>
      <c r="BD17" s="85">
        <f t="shared" si="37"/>
        <v>8.3534000246866566E-2</v>
      </c>
      <c r="BE17" s="89">
        <f t="shared" si="8"/>
        <v>609223.47499999998</v>
      </c>
      <c r="BF17" s="89">
        <f t="shared" si="9"/>
        <v>1827670.4249999998</v>
      </c>
      <c r="BG17" s="79"/>
      <c r="BH17" s="46">
        <v>570857.28</v>
      </c>
      <c r="BI17" s="85">
        <f t="shared" si="38"/>
        <v>6.7208033153225211E-2</v>
      </c>
      <c r="BJ17" s="79"/>
      <c r="BK17" s="96">
        <f t="shared" si="10"/>
        <v>607085.49134674936</v>
      </c>
      <c r="BL17" s="96">
        <f t="shared" si="11"/>
        <v>50935.763678692805</v>
      </c>
      <c r="BM17" s="102">
        <f t="shared" si="39"/>
        <v>8.3902126479250341E-2</v>
      </c>
      <c r="BN17" s="97">
        <f t="shared" si="12"/>
        <v>607085.49134674936</v>
      </c>
      <c r="BO17" s="97">
        <f t="shared" si="13"/>
        <v>1821256.474040248</v>
      </c>
      <c r="BP17" s="79"/>
      <c r="BQ17" s="46">
        <v>570857.28</v>
      </c>
      <c r="BR17" s="85">
        <f t="shared" si="14"/>
        <v>6.3462817443178388E-2</v>
      </c>
      <c r="BS17" s="79"/>
      <c r="BT17" s="79"/>
      <c r="BU17" s="79"/>
      <c r="BV17" s="79"/>
      <c r="BW17" s="79"/>
      <c r="BX17" s="79"/>
      <c r="BY17" s="79"/>
      <c r="BZ17" s="79"/>
      <c r="CA17" s="79"/>
      <c r="CB17" s="79"/>
      <c r="CC17" s="79"/>
      <c r="CD17" s="79"/>
      <c r="CE17" s="79"/>
      <c r="CF17" s="79"/>
      <c r="CG17" s="79"/>
      <c r="CH17" s="79"/>
    </row>
    <row r="18" spans="1:86" s="47" customFormat="1" ht="103.5" customHeight="1" x14ac:dyDescent="0.2">
      <c r="A18" s="30">
        <v>8</v>
      </c>
      <c r="B18" s="296"/>
      <c r="C18" s="30" t="s">
        <v>27</v>
      </c>
      <c r="D18" s="30" t="s">
        <v>28</v>
      </c>
      <c r="E18" s="36"/>
      <c r="F18" s="56" t="s">
        <v>26</v>
      </c>
      <c r="G18" s="8">
        <v>479712</v>
      </c>
      <c r="H18" s="8">
        <f t="shared" si="15"/>
        <v>91145.279999999999</v>
      </c>
      <c r="I18" s="8">
        <f t="shared" si="16"/>
        <v>570857.28</v>
      </c>
      <c r="J18" s="8">
        <f t="shared" ref="J18:K18" si="45">+I18*AA18</f>
        <v>570857.28</v>
      </c>
      <c r="K18" s="8">
        <f t="shared" si="45"/>
        <v>1712571.84</v>
      </c>
      <c r="L18" s="8">
        <v>550000</v>
      </c>
      <c r="M18" s="8">
        <f t="shared" si="18"/>
        <v>104500</v>
      </c>
      <c r="N18" s="8">
        <f t="shared" si="19"/>
        <v>654500</v>
      </c>
      <c r="O18" s="8">
        <f t="shared" si="0"/>
        <v>654500</v>
      </c>
      <c r="P18" s="8">
        <f t="shared" si="20"/>
        <v>1963500</v>
      </c>
      <c r="Q18" s="37">
        <v>558098</v>
      </c>
      <c r="R18" s="8">
        <f t="shared" si="21"/>
        <v>106038.62</v>
      </c>
      <c r="S18" s="8">
        <f t="shared" si="22"/>
        <v>664136.62</v>
      </c>
      <c r="T18" s="8">
        <f t="shared" si="1"/>
        <v>664136.62</v>
      </c>
      <c r="U18" s="8">
        <f t="shared" si="23"/>
        <v>1992409.8599999999</v>
      </c>
      <c r="V18" s="53">
        <v>460000</v>
      </c>
      <c r="W18" s="53">
        <f t="shared" si="24"/>
        <v>87400</v>
      </c>
      <c r="X18" s="53">
        <f t="shared" si="25"/>
        <v>547400</v>
      </c>
      <c r="Y18" s="53">
        <f t="shared" si="2"/>
        <v>547400</v>
      </c>
      <c r="Z18" s="53">
        <f t="shared" si="26"/>
        <v>1642200</v>
      </c>
      <c r="AA18" s="64">
        <v>1</v>
      </c>
      <c r="AB18" s="64">
        <v>3</v>
      </c>
      <c r="AC18" s="9">
        <f t="shared" si="27"/>
        <v>609223.47499999998</v>
      </c>
      <c r="AD18" s="9">
        <f t="shared" si="28"/>
        <v>607085.49134674936</v>
      </c>
      <c r="AE18" s="9">
        <f t="shared" si="29"/>
        <v>607085.49134674936</v>
      </c>
      <c r="AF18" s="9">
        <f t="shared" si="30"/>
        <v>1821256.4740402482</v>
      </c>
      <c r="AG18" s="15"/>
      <c r="AH18" s="9">
        <f t="shared" si="3"/>
        <v>570857.28</v>
      </c>
      <c r="AI18" s="46">
        <f t="shared" si="4"/>
        <v>654500</v>
      </c>
      <c r="AJ18" s="46">
        <f t="shared" si="5"/>
        <v>664136.62</v>
      </c>
      <c r="AK18" s="46">
        <f t="shared" si="31"/>
        <v>547400</v>
      </c>
      <c r="AL18" s="94" t="s">
        <v>85</v>
      </c>
      <c r="AM18" s="94" t="s">
        <v>86</v>
      </c>
      <c r="AN18" s="95" t="s">
        <v>85</v>
      </c>
      <c r="AO18" s="95" t="s">
        <v>86</v>
      </c>
      <c r="AP18" s="95" t="s">
        <v>86</v>
      </c>
      <c r="AQ18" s="95" t="s">
        <v>86</v>
      </c>
      <c r="AR18" s="95" t="s">
        <v>86</v>
      </c>
      <c r="AS18" s="95" t="s">
        <v>86</v>
      </c>
      <c r="AT18" s="79"/>
      <c r="AU18" s="89">
        <f t="shared" si="32"/>
        <v>553264.32000000007</v>
      </c>
      <c r="AV18" s="89">
        <f t="shared" si="33"/>
        <v>661727.46499999997</v>
      </c>
      <c r="AW18" s="89">
        <f t="shared" si="34"/>
        <v>108463.1449999999</v>
      </c>
      <c r="AX18" s="46">
        <f t="shared" si="35"/>
        <v>390569.60250000021</v>
      </c>
      <c r="AY18" s="46">
        <f t="shared" si="36"/>
        <v>824422.18249999988</v>
      </c>
      <c r="AZ18" s="79"/>
      <c r="BA18" s="79"/>
      <c r="BB18" s="46">
        <f t="shared" si="6"/>
        <v>609223.47499999998</v>
      </c>
      <c r="BC18" s="46">
        <f t="shared" si="7"/>
        <v>50890.873911046903</v>
      </c>
      <c r="BD18" s="85">
        <f t="shared" si="37"/>
        <v>8.3534000246866566E-2</v>
      </c>
      <c r="BE18" s="89">
        <f t="shared" si="8"/>
        <v>609223.47499999998</v>
      </c>
      <c r="BF18" s="89">
        <f t="shared" si="9"/>
        <v>1827670.4249999998</v>
      </c>
      <c r="BG18" s="79"/>
      <c r="BH18" s="46">
        <v>570857.28</v>
      </c>
      <c r="BI18" s="85">
        <f t="shared" si="38"/>
        <v>6.7208033153225211E-2</v>
      </c>
      <c r="BJ18" s="79"/>
      <c r="BK18" s="96">
        <f t="shared" si="10"/>
        <v>607085.49134674936</v>
      </c>
      <c r="BL18" s="96">
        <f t="shared" si="11"/>
        <v>50935.763678692805</v>
      </c>
      <c r="BM18" s="102">
        <f t="shared" si="39"/>
        <v>8.3902126479250341E-2</v>
      </c>
      <c r="BN18" s="97">
        <f t="shared" si="12"/>
        <v>607085.49134674936</v>
      </c>
      <c r="BO18" s="97">
        <f t="shared" si="13"/>
        <v>1821256.474040248</v>
      </c>
      <c r="BP18" s="79"/>
      <c r="BQ18" s="46">
        <v>570857.28</v>
      </c>
      <c r="BR18" s="85">
        <f t="shared" si="14"/>
        <v>6.3462817443178388E-2</v>
      </c>
      <c r="BS18" s="79"/>
      <c r="BT18" s="79"/>
      <c r="BU18" s="79"/>
      <c r="BV18" s="79"/>
      <c r="BW18" s="79"/>
      <c r="BX18" s="79"/>
      <c r="BY18" s="79"/>
      <c r="BZ18" s="79"/>
      <c r="CA18" s="79"/>
      <c r="CB18" s="79"/>
      <c r="CC18" s="79"/>
      <c r="CD18" s="79"/>
      <c r="CE18" s="79"/>
      <c r="CF18" s="79"/>
      <c r="CG18" s="79"/>
      <c r="CH18" s="79"/>
    </row>
    <row r="19" spans="1:86" s="47" customFormat="1" ht="103.5" customHeight="1" x14ac:dyDescent="0.2">
      <c r="A19" s="112">
        <v>9</v>
      </c>
      <c r="B19" s="296"/>
      <c r="C19" s="30" t="s">
        <v>35</v>
      </c>
      <c r="D19" s="30" t="s">
        <v>28</v>
      </c>
      <c r="E19" s="36"/>
      <c r="F19" s="56" t="s">
        <v>26</v>
      </c>
      <c r="G19" s="8">
        <v>2398560</v>
      </c>
      <c r="H19" s="8">
        <f t="shared" si="15"/>
        <v>455726.4</v>
      </c>
      <c r="I19" s="8">
        <f t="shared" si="16"/>
        <v>2854286.4</v>
      </c>
      <c r="J19" s="8">
        <f t="shared" ref="J19:K19" si="46">+I19*AA19</f>
        <v>14271432</v>
      </c>
      <c r="K19" s="8">
        <f t="shared" si="46"/>
        <v>42814296</v>
      </c>
      <c r="L19" s="8">
        <v>1828000</v>
      </c>
      <c r="M19" s="8">
        <f t="shared" si="18"/>
        <v>347320</v>
      </c>
      <c r="N19" s="8">
        <f t="shared" si="19"/>
        <v>2175320</v>
      </c>
      <c r="O19" s="8">
        <f t="shared" si="0"/>
        <v>10876600</v>
      </c>
      <c r="P19" s="8">
        <f t="shared" si="20"/>
        <v>32629800</v>
      </c>
      <c r="Q19" s="37">
        <v>558098</v>
      </c>
      <c r="R19" s="8">
        <f t="shared" si="21"/>
        <v>106038.62</v>
      </c>
      <c r="S19" s="8">
        <f t="shared" si="22"/>
        <v>664136.62</v>
      </c>
      <c r="T19" s="8">
        <f t="shared" si="1"/>
        <v>3320683.1</v>
      </c>
      <c r="U19" s="8">
        <f t="shared" si="23"/>
        <v>9962049.3000000007</v>
      </c>
      <c r="V19" s="53">
        <v>460000</v>
      </c>
      <c r="W19" s="53">
        <f t="shared" si="24"/>
        <v>87400</v>
      </c>
      <c r="X19" s="53">
        <f t="shared" si="25"/>
        <v>547400</v>
      </c>
      <c r="Y19" s="53">
        <f t="shared" si="2"/>
        <v>2737000</v>
      </c>
      <c r="Z19" s="53">
        <f t="shared" si="26"/>
        <v>8211000</v>
      </c>
      <c r="AA19" s="64">
        <v>5</v>
      </c>
      <c r="AB19" s="64">
        <v>3</v>
      </c>
      <c r="AC19" s="9">
        <f t="shared" si="27"/>
        <v>1560285.7550000001</v>
      </c>
      <c r="AD19" s="9">
        <f t="shared" si="28"/>
        <v>1225732.5817046384</v>
      </c>
      <c r="AE19" s="9">
        <f t="shared" si="29"/>
        <v>6128662.9085231926</v>
      </c>
      <c r="AF19" s="9">
        <f t="shared" si="30"/>
        <v>18385988.725569576</v>
      </c>
      <c r="AG19" s="15"/>
      <c r="AH19" s="9">
        <f t="shared" si="3"/>
        <v>2854286.4</v>
      </c>
      <c r="AI19" s="46">
        <f t="shared" si="4"/>
        <v>2175320</v>
      </c>
      <c r="AJ19" s="46">
        <f t="shared" si="5"/>
        <v>664136.62</v>
      </c>
      <c r="AK19" s="46">
        <f t="shared" si="31"/>
        <v>547400</v>
      </c>
      <c r="AL19" s="94" t="s">
        <v>85</v>
      </c>
      <c r="AM19" s="94" t="s">
        <v>86</v>
      </c>
      <c r="AN19" s="95" t="s">
        <v>85</v>
      </c>
      <c r="AO19" s="95" t="s">
        <v>86</v>
      </c>
      <c r="AP19" s="95" t="s">
        <v>86</v>
      </c>
      <c r="AQ19" s="95" t="s">
        <v>86</v>
      </c>
      <c r="AR19" s="95" t="s">
        <v>86</v>
      </c>
      <c r="AS19" s="95" t="s">
        <v>86</v>
      </c>
      <c r="AT19" s="79"/>
      <c r="AU19" s="89">
        <f t="shared" si="32"/>
        <v>576584.15500000003</v>
      </c>
      <c r="AV19" s="89">
        <f t="shared" si="33"/>
        <v>2684544.8</v>
      </c>
      <c r="AW19" s="89">
        <f t="shared" si="34"/>
        <v>2107960.6449999996</v>
      </c>
      <c r="AX19" s="46">
        <f t="shared" si="35"/>
        <v>-2585356.8124999991</v>
      </c>
      <c r="AY19" s="46">
        <f t="shared" si="36"/>
        <v>5846485.7674999991</v>
      </c>
      <c r="AZ19" s="79"/>
      <c r="BA19" s="79"/>
      <c r="BB19" s="46">
        <f t="shared" si="6"/>
        <v>1560285.7550000001</v>
      </c>
      <c r="BC19" s="46">
        <f t="shared" si="7"/>
        <v>985104.76811178599</v>
      </c>
      <c r="BD19" s="85">
        <f t="shared" si="37"/>
        <v>0.63136176495553908</v>
      </c>
      <c r="BE19" s="89">
        <f t="shared" si="8"/>
        <v>7801428.7750000004</v>
      </c>
      <c r="BF19" s="89">
        <f t="shared" si="9"/>
        <v>23404286.325000003</v>
      </c>
      <c r="BG19" s="79"/>
      <c r="BH19" s="46">
        <v>2854286.4</v>
      </c>
      <c r="BI19" s="85">
        <f t="shared" si="38"/>
        <v>-0.4533534704155826</v>
      </c>
      <c r="BJ19" s="79"/>
      <c r="BK19" s="96">
        <f t="shared" si="10"/>
        <v>1225732.5817046384</v>
      </c>
      <c r="BL19" s="96">
        <f t="shared" si="11"/>
        <v>1040363.9891492651</v>
      </c>
      <c r="BM19" s="102">
        <f t="shared" si="39"/>
        <v>0.84876913992318015</v>
      </c>
      <c r="BN19" s="97">
        <f t="shared" si="12"/>
        <v>6128662.9085231926</v>
      </c>
      <c r="BO19" s="97">
        <f t="shared" si="13"/>
        <v>18385988.725569576</v>
      </c>
      <c r="BP19" s="79"/>
      <c r="BQ19" s="46">
        <v>2854286.4</v>
      </c>
      <c r="BR19" s="85">
        <f t="shared" si="14"/>
        <v>-0.57056426373168501</v>
      </c>
      <c r="BS19" s="79"/>
      <c r="BT19" s="79"/>
      <c r="BU19" s="79"/>
      <c r="BV19" s="79"/>
      <c r="BW19" s="79"/>
      <c r="BX19" s="79"/>
      <c r="BY19" s="79"/>
      <c r="BZ19" s="79"/>
      <c r="CA19" s="79"/>
      <c r="CB19" s="79"/>
      <c r="CC19" s="79"/>
      <c r="CD19" s="79"/>
      <c r="CE19" s="79"/>
      <c r="CF19" s="79"/>
      <c r="CG19" s="79"/>
      <c r="CH19" s="79"/>
    </row>
    <row r="20" spans="1:86" s="47" customFormat="1" ht="103.5" customHeight="1" x14ac:dyDescent="0.2">
      <c r="A20" s="111">
        <v>10</v>
      </c>
      <c r="B20" s="297"/>
      <c r="C20" s="30" t="s">
        <v>61</v>
      </c>
      <c r="D20" s="30" t="s">
        <v>62</v>
      </c>
      <c r="E20" s="36"/>
      <c r="F20" s="56" t="s">
        <v>26</v>
      </c>
      <c r="G20" s="8"/>
      <c r="H20" s="8">
        <f t="shared" si="15"/>
        <v>0</v>
      </c>
      <c r="I20" s="8">
        <f t="shared" si="16"/>
        <v>0</v>
      </c>
      <c r="J20" s="8">
        <f t="shared" ref="J20:K20" si="47">+I20*AA20</f>
        <v>0</v>
      </c>
      <c r="K20" s="8">
        <f t="shared" si="47"/>
        <v>0</v>
      </c>
      <c r="L20" s="8">
        <v>427600</v>
      </c>
      <c r="M20" s="8">
        <f t="shared" si="18"/>
        <v>81244</v>
      </c>
      <c r="N20" s="8">
        <f t="shared" si="19"/>
        <v>508844</v>
      </c>
      <c r="O20" s="8">
        <f t="shared" si="0"/>
        <v>508844</v>
      </c>
      <c r="P20" s="8">
        <f t="shared" si="20"/>
        <v>1526532</v>
      </c>
      <c r="Q20" s="37">
        <v>637827</v>
      </c>
      <c r="R20" s="8">
        <f t="shared" si="21"/>
        <v>121187.13</v>
      </c>
      <c r="S20" s="8">
        <f t="shared" si="22"/>
        <v>759014.13</v>
      </c>
      <c r="T20" s="8">
        <f t="shared" si="1"/>
        <v>759014.13</v>
      </c>
      <c r="U20" s="8">
        <f t="shared" si="23"/>
        <v>2277042.39</v>
      </c>
      <c r="V20" s="53">
        <v>460000</v>
      </c>
      <c r="W20" s="53">
        <f t="shared" si="24"/>
        <v>87400</v>
      </c>
      <c r="X20" s="53">
        <f t="shared" si="25"/>
        <v>547400</v>
      </c>
      <c r="Y20" s="53">
        <f t="shared" si="2"/>
        <v>547400</v>
      </c>
      <c r="Z20" s="53">
        <f t="shared" si="26"/>
        <v>1642200</v>
      </c>
      <c r="AA20" s="64">
        <v>1</v>
      </c>
      <c r="AB20" s="64">
        <v>3</v>
      </c>
      <c r="AC20" s="9">
        <f t="shared" si="27"/>
        <v>453814.53249999997</v>
      </c>
      <c r="AD20" s="9">
        <f>GEOMEAN(N20,S20,X20)</f>
        <v>595725.83861103759</v>
      </c>
      <c r="AE20" s="9">
        <f>GEOMEAN(O20,T20,Y20)</f>
        <v>595725.83861103759</v>
      </c>
      <c r="AF20" s="9">
        <f>GEOMEAN(P20,U20,Z20)</f>
        <v>1787177.5158331126</v>
      </c>
      <c r="AG20" s="15"/>
      <c r="AH20" s="9">
        <f t="shared" si="3"/>
        <v>0</v>
      </c>
      <c r="AI20" s="46">
        <f t="shared" si="4"/>
        <v>508844</v>
      </c>
      <c r="AJ20" s="46">
        <f t="shared" si="5"/>
        <v>759014.13</v>
      </c>
      <c r="AK20" s="46">
        <f t="shared" si="31"/>
        <v>547400</v>
      </c>
      <c r="AL20" s="94" t="s">
        <v>85</v>
      </c>
      <c r="AM20" s="94" t="s">
        <v>86</v>
      </c>
      <c r="AN20" s="95" t="s">
        <v>85</v>
      </c>
      <c r="AO20" s="95" t="s">
        <v>86</v>
      </c>
      <c r="AP20" s="95" t="s">
        <v>86</v>
      </c>
      <c r="AQ20" s="95" t="s">
        <v>86</v>
      </c>
      <c r="AR20" s="95" t="s">
        <v>86</v>
      </c>
      <c r="AS20" s="95" t="s">
        <v>86</v>
      </c>
      <c r="AT20" s="79"/>
      <c r="AU20" s="89">
        <f>_xlfn.QUARTILE.EXC(AI20:AK20,1)</f>
        <v>508844</v>
      </c>
      <c r="AV20" s="89">
        <f>_xlfn.QUARTILE.EXC(AI20:AK20,3)</f>
        <v>759014.13</v>
      </c>
      <c r="AW20" s="89">
        <f t="shared" si="34"/>
        <v>250170.13</v>
      </c>
      <c r="AX20" s="46">
        <f t="shared" si="35"/>
        <v>133588.80499999999</v>
      </c>
      <c r="AY20" s="46">
        <f t="shared" si="36"/>
        <v>1134269.325</v>
      </c>
      <c r="AZ20" s="79"/>
      <c r="BA20" s="79"/>
      <c r="BB20" s="46">
        <f t="shared" si="6"/>
        <v>453814.53249999997</v>
      </c>
      <c r="BC20" s="46">
        <f t="shared" si="7"/>
        <v>278783.4761256855</v>
      </c>
      <c r="BD20" s="85">
        <f t="shared" si="37"/>
        <v>0.61431147784075313</v>
      </c>
      <c r="BE20" s="89">
        <f t="shared" si="8"/>
        <v>453814.53249999997</v>
      </c>
      <c r="BF20" s="89">
        <f t="shared" si="9"/>
        <v>1361443.5974999999</v>
      </c>
      <c r="BG20" s="79"/>
      <c r="BH20" s="46">
        <v>0</v>
      </c>
      <c r="BI20" s="85"/>
      <c r="BJ20" s="79"/>
      <c r="BK20" s="96">
        <f>GEOMEAN(AI20:AK20)</f>
        <v>595725.83861103759</v>
      </c>
      <c r="BL20" s="96">
        <f>+SQRT(((AI20-BK20)^2+(AJ20-BK20)^2+(AK20-BK20)^2)/3)</f>
        <v>110373.46701482974</v>
      </c>
      <c r="BM20" s="102">
        <f t="shared" si="39"/>
        <v>0.18527560810887539</v>
      </c>
      <c r="BN20" s="97">
        <f t="shared" si="12"/>
        <v>595725.83861103759</v>
      </c>
      <c r="BO20" s="97">
        <f t="shared" si="13"/>
        <v>1787177.5158331129</v>
      </c>
      <c r="BP20" s="79"/>
      <c r="BQ20" s="46">
        <v>0</v>
      </c>
      <c r="BR20" s="85"/>
      <c r="BS20" s="79"/>
      <c r="BT20" s="79"/>
      <c r="BU20" s="79"/>
      <c r="BV20" s="79"/>
      <c r="BW20" s="79"/>
      <c r="BX20" s="79"/>
      <c r="BY20" s="79"/>
      <c r="BZ20" s="79"/>
      <c r="CA20" s="79"/>
      <c r="CB20" s="79"/>
      <c r="CC20" s="79"/>
      <c r="CD20" s="79"/>
      <c r="CE20" s="79"/>
      <c r="CF20" s="79"/>
      <c r="CG20" s="79"/>
      <c r="CH20" s="79"/>
    </row>
    <row r="21" spans="1:86" s="47" customFormat="1" ht="103.5" customHeight="1" x14ac:dyDescent="0.2">
      <c r="A21" s="112">
        <v>11</v>
      </c>
      <c r="B21" s="338" t="s">
        <v>12</v>
      </c>
      <c r="C21" s="32" t="s">
        <v>36</v>
      </c>
      <c r="D21" s="32" t="s">
        <v>28</v>
      </c>
      <c r="E21" s="35"/>
      <c r="F21" s="58" t="s">
        <v>26</v>
      </c>
      <c r="G21" s="8">
        <v>610160</v>
      </c>
      <c r="H21" s="8">
        <f t="shared" si="15"/>
        <v>115930.4</v>
      </c>
      <c r="I21" s="8">
        <f t="shared" si="16"/>
        <v>726090.4</v>
      </c>
      <c r="J21" s="8">
        <f t="shared" ref="J21:K21" si="48">+I21*AA21</f>
        <v>726090.4</v>
      </c>
      <c r="K21" s="8">
        <f t="shared" si="48"/>
        <v>2178271.2000000002</v>
      </c>
      <c r="L21" s="8">
        <v>480000</v>
      </c>
      <c r="M21" s="8">
        <f t="shared" si="18"/>
        <v>91200</v>
      </c>
      <c r="N21" s="8">
        <f t="shared" si="19"/>
        <v>571200</v>
      </c>
      <c r="O21" s="8">
        <f t="shared" si="0"/>
        <v>571200</v>
      </c>
      <c r="P21" s="8">
        <f t="shared" si="20"/>
        <v>1713600</v>
      </c>
      <c r="Q21" s="37">
        <v>558098</v>
      </c>
      <c r="R21" s="8">
        <f t="shared" si="21"/>
        <v>106038.62</v>
      </c>
      <c r="S21" s="8">
        <f t="shared" si="22"/>
        <v>664136.62</v>
      </c>
      <c r="T21" s="8">
        <f t="shared" si="1"/>
        <v>664136.62</v>
      </c>
      <c r="U21" s="8">
        <f t="shared" si="23"/>
        <v>1992409.8599999999</v>
      </c>
      <c r="V21" s="53">
        <v>460000</v>
      </c>
      <c r="W21" s="53">
        <f t="shared" si="24"/>
        <v>87400</v>
      </c>
      <c r="X21" s="53">
        <f t="shared" si="25"/>
        <v>547400</v>
      </c>
      <c r="Y21" s="53">
        <f t="shared" si="2"/>
        <v>547400</v>
      </c>
      <c r="Z21" s="53">
        <f t="shared" si="26"/>
        <v>1642200</v>
      </c>
      <c r="AA21" s="66">
        <v>1</v>
      </c>
      <c r="AB21" s="66">
        <v>3</v>
      </c>
      <c r="AC21" s="9">
        <f t="shared" si="27"/>
        <v>627206.755</v>
      </c>
      <c r="AD21" s="9">
        <f t="shared" si="28"/>
        <v>623139.49578079034</v>
      </c>
      <c r="AE21" s="9">
        <f t="shared" si="29"/>
        <v>623139.49578079034</v>
      </c>
      <c r="AF21" s="9">
        <f t="shared" si="30"/>
        <v>1869418.4873423709</v>
      </c>
      <c r="AG21" s="15"/>
      <c r="AH21" s="9">
        <f t="shared" si="3"/>
        <v>726090.4</v>
      </c>
      <c r="AI21" s="46">
        <f t="shared" si="4"/>
        <v>571200</v>
      </c>
      <c r="AJ21" s="46">
        <f t="shared" si="5"/>
        <v>664136.62</v>
      </c>
      <c r="AK21" s="46">
        <f t="shared" si="31"/>
        <v>547400</v>
      </c>
      <c r="AL21" s="94" t="s">
        <v>85</v>
      </c>
      <c r="AM21" s="94" t="s">
        <v>86</v>
      </c>
      <c r="AN21" s="95" t="s">
        <v>85</v>
      </c>
      <c r="AO21" s="95" t="s">
        <v>86</v>
      </c>
      <c r="AP21" s="95" t="s">
        <v>86</v>
      </c>
      <c r="AQ21" s="95" t="s">
        <v>86</v>
      </c>
      <c r="AR21" s="95" t="s">
        <v>86</v>
      </c>
      <c r="AS21" s="95" t="s">
        <v>86</v>
      </c>
      <c r="AT21" s="79"/>
      <c r="AU21" s="89">
        <f t="shared" si="32"/>
        <v>553350</v>
      </c>
      <c r="AV21" s="89">
        <f t="shared" si="33"/>
        <v>710601.95500000007</v>
      </c>
      <c r="AW21" s="89">
        <f t="shared" si="34"/>
        <v>157251.95500000007</v>
      </c>
      <c r="AX21" s="46">
        <f t="shared" si="35"/>
        <v>317472.06749999989</v>
      </c>
      <c r="AY21" s="46">
        <f t="shared" si="36"/>
        <v>946479.88750000019</v>
      </c>
      <c r="AZ21" s="79"/>
      <c r="BA21" s="79"/>
      <c r="BB21" s="46">
        <f t="shared" si="6"/>
        <v>627206.755</v>
      </c>
      <c r="BC21" s="46">
        <f t="shared" si="7"/>
        <v>71846.476821526448</v>
      </c>
      <c r="BD21" s="85">
        <f t="shared" si="37"/>
        <v>0.11454990917871484</v>
      </c>
      <c r="BE21" s="89">
        <f t="shared" si="8"/>
        <v>627206.755</v>
      </c>
      <c r="BF21" s="89">
        <f t="shared" si="9"/>
        <v>1881620.2650000001</v>
      </c>
      <c r="BG21" s="79"/>
      <c r="BH21" s="46">
        <v>726090.4</v>
      </c>
      <c r="BI21" s="85">
        <f t="shared" si="38"/>
        <v>-0.13618641012193522</v>
      </c>
      <c r="BJ21" s="79"/>
      <c r="BK21" s="96">
        <f t="shared" ref="BK21:BK26" si="49">GEOMEAN(AH21:AK21)</f>
        <v>623139.49578079034</v>
      </c>
      <c r="BL21" s="96">
        <f t="shared" ref="BL21:BL26" si="50">+SQRT(((AH21-BK21)^2+(AI21-BK21)^2+(AJ21-BK21)^2+(AK21-BK21)^2)/4)</f>
        <v>71961.509358978306</v>
      </c>
      <c r="BM21" s="102">
        <f t="shared" si="39"/>
        <v>0.11548218311665662</v>
      </c>
      <c r="BN21" s="97">
        <f t="shared" si="12"/>
        <v>623139.49578079034</v>
      </c>
      <c r="BO21" s="97">
        <f t="shared" si="13"/>
        <v>1869418.4873423711</v>
      </c>
      <c r="BP21" s="79"/>
      <c r="BQ21" s="46">
        <v>726090.4</v>
      </c>
      <c r="BR21" s="85">
        <f t="shared" ref="BR21:BR26" si="51">BK21/BQ21-1</f>
        <v>-0.14178799804984299</v>
      </c>
      <c r="BS21" s="79"/>
      <c r="BT21" s="79"/>
      <c r="BU21" s="79"/>
      <c r="BV21" s="79"/>
      <c r="BW21" s="79"/>
      <c r="BX21" s="79"/>
      <c r="BY21" s="79"/>
      <c r="BZ21" s="79"/>
      <c r="CA21" s="79"/>
      <c r="CB21" s="79"/>
      <c r="CC21" s="79"/>
      <c r="CD21" s="79"/>
      <c r="CE21" s="79"/>
      <c r="CF21" s="79"/>
      <c r="CG21" s="79"/>
      <c r="CH21" s="79"/>
    </row>
    <row r="22" spans="1:86" s="47" customFormat="1" ht="103.5" customHeight="1" x14ac:dyDescent="0.2">
      <c r="A22" s="31">
        <v>12</v>
      </c>
      <c r="B22" s="338"/>
      <c r="C22" s="31" t="s">
        <v>37</v>
      </c>
      <c r="D22" s="31" t="s">
        <v>28</v>
      </c>
      <c r="E22" s="20"/>
      <c r="F22" s="59" t="s">
        <v>26</v>
      </c>
      <c r="G22" s="8">
        <v>610160</v>
      </c>
      <c r="H22" s="8">
        <f t="shared" si="15"/>
        <v>115930.4</v>
      </c>
      <c r="I22" s="8">
        <f t="shared" si="16"/>
        <v>726090.4</v>
      </c>
      <c r="J22" s="8">
        <f t="shared" ref="J22:K22" si="52">+I22*AA22</f>
        <v>726090.4</v>
      </c>
      <c r="K22" s="8">
        <f t="shared" si="52"/>
        <v>2178271.2000000002</v>
      </c>
      <c r="L22" s="8">
        <v>480000</v>
      </c>
      <c r="M22" s="8">
        <f t="shared" ref="M22:M23" si="53">+L22*19%</f>
        <v>91200</v>
      </c>
      <c r="N22" s="8">
        <f t="shared" ref="N22:N23" si="54">+M22+L22</f>
        <v>571200</v>
      </c>
      <c r="O22" s="8">
        <f t="shared" ref="O22:O23" si="55">+N22*AA22</f>
        <v>571200</v>
      </c>
      <c r="P22" s="8">
        <f t="shared" ref="P22:P23" si="56">+O22*AB22</f>
        <v>1713600</v>
      </c>
      <c r="Q22" s="37">
        <v>558098</v>
      </c>
      <c r="R22" s="8">
        <f t="shared" ref="R22:R26" si="57">+Q22*19%</f>
        <v>106038.62</v>
      </c>
      <c r="S22" s="8">
        <f t="shared" ref="S22:S26" si="58">+R22+Q22</f>
        <v>664136.62</v>
      </c>
      <c r="T22" s="8">
        <f t="shared" ref="T22:T26" si="59">+S22*AA22</f>
        <v>664136.62</v>
      </c>
      <c r="U22" s="8">
        <f t="shared" ref="U22:U26" si="60">+T22*AB22</f>
        <v>1992409.8599999999</v>
      </c>
      <c r="V22" s="53">
        <v>460000</v>
      </c>
      <c r="W22" s="53">
        <f t="shared" ref="W22:W25" si="61">+V22*19%</f>
        <v>87400</v>
      </c>
      <c r="X22" s="53">
        <f t="shared" ref="X22:X25" si="62">+V22+W22</f>
        <v>547400</v>
      </c>
      <c r="Y22" s="53">
        <f t="shared" ref="Y22:Y25" si="63">+X22*AA22</f>
        <v>547400</v>
      </c>
      <c r="Z22" s="53">
        <f t="shared" ref="Z22:Z25" si="64">+Y22*AB22</f>
        <v>1642200</v>
      </c>
      <c r="AA22" s="65">
        <v>1</v>
      </c>
      <c r="AB22" s="65">
        <v>3</v>
      </c>
      <c r="AC22" s="9">
        <f t="shared" si="27"/>
        <v>627206.755</v>
      </c>
      <c r="AD22" s="9">
        <f t="shared" si="28"/>
        <v>623139.49578079034</v>
      </c>
      <c r="AE22" s="9">
        <f t="shared" si="29"/>
        <v>623139.49578079034</v>
      </c>
      <c r="AF22" s="9">
        <f t="shared" si="30"/>
        <v>1869418.4873423709</v>
      </c>
      <c r="AG22" s="15"/>
      <c r="AH22" s="9">
        <f t="shared" si="3"/>
        <v>726090.4</v>
      </c>
      <c r="AI22" s="46">
        <f t="shared" si="4"/>
        <v>571200</v>
      </c>
      <c r="AJ22" s="46">
        <f t="shared" si="5"/>
        <v>664136.62</v>
      </c>
      <c r="AK22" s="46">
        <f t="shared" si="31"/>
        <v>547400</v>
      </c>
      <c r="AL22" s="94" t="s">
        <v>85</v>
      </c>
      <c r="AM22" s="94" t="s">
        <v>86</v>
      </c>
      <c r="AN22" s="95" t="s">
        <v>85</v>
      </c>
      <c r="AO22" s="95" t="s">
        <v>86</v>
      </c>
      <c r="AP22" s="95" t="s">
        <v>86</v>
      </c>
      <c r="AQ22" s="95" t="s">
        <v>86</v>
      </c>
      <c r="AR22" s="95" t="s">
        <v>86</v>
      </c>
      <c r="AS22" s="95" t="s">
        <v>86</v>
      </c>
      <c r="AT22" s="79"/>
      <c r="AU22" s="89">
        <f t="shared" si="32"/>
        <v>553350</v>
      </c>
      <c r="AV22" s="89">
        <f t="shared" si="33"/>
        <v>710601.95500000007</v>
      </c>
      <c r="AW22" s="89">
        <f t="shared" si="34"/>
        <v>157251.95500000007</v>
      </c>
      <c r="AX22" s="46">
        <f t="shared" si="35"/>
        <v>317472.06749999989</v>
      </c>
      <c r="AY22" s="46">
        <f t="shared" si="36"/>
        <v>946479.88750000019</v>
      </c>
      <c r="AZ22" s="79"/>
      <c r="BA22" s="79"/>
      <c r="BB22" s="46">
        <f t="shared" si="6"/>
        <v>627206.755</v>
      </c>
      <c r="BC22" s="46">
        <f t="shared" si="7"/>
        <v>71846.476821526448</v>
      </c>
      <c r="BD22" s="85">
        <f t="shared" si="37"/>
        <v>0.11454990917871484</v>
      </c>
      <c r="BE22" s="89">
        <f t="shared" si="8"/>
        <v>627206.755</v>
      </c>
      <c r="BF22" s="89">
        <f t="shared" si="9"/>
        <v>1881620.2650000001</v>
      </c>
      <c r="BG22" s="79"/>
      <c r="BH22" s="46">
        <v>726090.4</v>
      </c>
      <c r="BI22" s="85">
        <f t="shared" si="38"/>
        <v>-0.13618641012193522</v>
      </c>
      <c r="BJ22" s="79"/>
      <c r="BK22" s="96">
        <f t="shared" si="49"/>
        <v>623139.49578079034</v>
      </c>
      <c r="BL22" s="96">
        <f t="shared" si="50"/>
        <v>71961.509358978306</v>
      </c>
      <c r="BM22" s="102">
        <f t="shared" si="39"/>
        <v>0.11548218311665662</v>
      </c>
      <c r="BN22" s="97">
        <f t="shared" si="12"/>
        <v>623139.49578079034</v>
      </c>
      <c r="BO22" s="97">
        <f t="shared" si="13"/>
        <v>1869418.4873423711</v>
      </c>
      <c r="BP22" s="79"/>
      <c r="BQ22" s="46">
        <v>726090.4</v>
      </c>
      <c r="BR22" s="85">
        <f t="shared" si="51"/>
        <v>-0.14178799804984299</v>
      </c>
      <c r="BS22" s="79"/>
      <c r="BT22" s="79"/>
      <c r="BU22" s="79"/>
      <c r="BV22" s="79"/>
      <c r="BW22" s="79"/>
      <c r="BX22" s="79"/>
      <c r="BY22" s="79"/>
      <c r="BZ22" s="79"/>
      <c r="CA22" s="79"/>
      <c r="CB22" s="79"/>
      <c r="CC22" s="79"/>
      <c r="CD22" s="79"/>
      <c r="CE22" s="79"/>
      <c r="CF22" s="79"/>
      <c r="CG22" s="79"/>
      <c r="CH22" s="79"/>
    </row>
    <row r="23" spans="1:86" s="47" customFormat="1" ht="30" customHeight="1" x14ac:dyDescent="0.2">
      <c r="A23" s="30">
        <v>13</v>
      </c>
      <c r="B23" s="294" t="s">
        <v>38</v>
      </c>
      <c r="C23" s="294"/>
      <c r="D23" s="294"/>
      <c r="E23" s="294"/>
      <c r="F23" s="56" t="s">
        <v>39</v>
      </c>
      <c r="G23" s="8">
        <v>736400</v>
      </c>
      <c r="H23" s="8">
        <f t="shared" si="15"/>
        <v>139916</v>
      </c>
      <c r="I23" s="8">
        <f t="shared" si="16"/>
        <v>876316</v>
      </c>
      <c r="J23" s="8">
        <f t="shared" ref="J23:K23" si="65">+I23*AA23</f>
        <v>4381580</v>
      </c>
      <c r="K23" s="8">
        <f t="shared" si="65"/>
        <v>13144740</v>
      </c>
      <c r="L23" s="8">
        <v>477600</v>
      </c>
      <c r="M23" s="8">
        <f t="shared" si="53"/>
        <v>90744</v>
      </c>
      <c r="N23" s="8">
        <f t="shared" si="54"/>
        <v>568344</v>
      </c>
      <c r="O23" s="8">
        <f t="shared" si="55"/>
        <v>2841720</v>
      </c>
      <c r="P23" s="8">
        <f t="shared" si="56"/>
        <v>8525160</v>
      </c>
      <c r="Q23" s="37">
        <v>318913</v>
      </c>
      <c r="R23" s="8">
        <f t="shared" si="57"/>
        <v>60593.47</v>
      </c>
      <c r="S23" s="8">
        <f t="shared" si="58"/>
        <v>379506.47</v>
      </c>
      <c r="T23" s="8">
        <f t="shared" si="59"/>
        <v>1897532.3499999999</v>
      </c>
      <c r="U23" s="8">
        <f t="shared" si="60"/>
        <v>5692597.0499999998</v>
      </c>
      <c r="V23" s="53">
        <v>120000</v>
      </c>
      <c r="W23" s="53">
        <f t="shared" si="61"/>
        <v>22800</v>
      </c>
      <c r="X23" s="53">
        <f t="shared" si="62"/>
        <v>142800</v>
      </c>
      <c r="Y23" s="53">
        <f t="shared" si="63"/>
        <v>714000</v>
      </c>
      <c r="Z23" s="53">
        <f t="shared" si="64"/>
        <v>2142000</v>
      </c>
      <c r="AA23" s="64">
        <v>5</v>
      </c>
      <c r="AB23" s="64">
        <v>3</v>
      </c>
      <c r="AC23" s="9">
        <f t="shared" si="27"/>
        <v>491741.61749999999</v>
      </c>
      <c r="AD23" s="9">
        <f t="shared" si="28"/>
        <v>405326.36425367784</v>
      </c>
      <c r="AE23" s="9">
        <f t="shared" si="29"/>
        <v>2026631.8212683895</v>
      </c>
      <c r="AF23" s="9">
        <f t="shared" si="30"/>
        <v>6079895.4638051679</v>
      </c>
      <c r="AG23" s="15"/>
      <c r="AH23" s="9">
        <f t="shared" si="3"/>
        <v>876316</v>
      </c>
      <c r="AI23" s="46">
        <f t="shared" si="4"/>
        <v>568344</v>
      </c>
      <c r="AJ23" s="46">
        <f t="shared" si="5"/>
        <v>379506.47</v>
      </c>
      <c r="AK23" s="46">
        <f t="shared" si="31"/>
        <v>142800</v>
      </c>
      <c r="AL23" s="94" t="s">
        <v>85</v>
      </c>
      <c r="AM23" s="94" t="s">
        <v>86</v>
      </c>
      <c r="AN23" s="95" t="s">
        <v>85</v>
      </c>
      <c r="AO23" s="95" t="s">
        <v>86</v>
      </c>
      <c r="AP23" s="95" t="s">
        <v>86</v>
      </c>
      <c r="AQ23" s="95" t="s">
        <v>86</v>
      </c>
      <c r="AR23" s="95" t="s">
        <v>86</v>
      </c>
      <c r="AS23" s="95" t="s">
        <v>86</v>
      </c>
      <c r="AT23" s="79"/>
      <c r="AU23" s="89">
        <f t="shared" si="32"/>
        <v>201976.61749999999</v>
      </c>
      <c r="AV23" s="89">
        <f t="shared" si="33"/>
        <v>799323</v>
      </c>
      <c r="AW23" s="89">
        <f t="shared" si="34"/>
        <v>597346.38250000007</v>
      </c>
      <c r="AX23" s="46">
        <f t="shared" si="35"/>
        <v>-694042.95625000005</v>
      </c>
      <c r="AY23" s="46">
        <f t="shared" si="36"/>
        <v>1695342.57375</v>
      </c>
      <c r="AZ23" s="79"/>
      <c r="BA23" s="79"/>
      <c r="BB23" s="46">
        <f t="shared" si="6"/>
        <v>491741.61749999999</v>
      </c>
      <c r="BC23" s="46">
        <f t="shared" si="7"/>
        <v>268385.15301605064</v>
      </c>
      <c r="BD23" s="85">
        <f t="shared" si="37"/>
        <v>0.54578490708293703</v>
      </c>
      <c r="BE23" s="89">
        <f t="shared" si="8"/>
        <v>2458708.0874999999</v>
      </c>
      <c r="BF23" s="89">
        <f t="shared" si="9"/>
        <v>7376124.2624999993</v>
      </c>
      <c r="BG23" s="79"/>
      <c r="BH23" s="46">
        <v>876316</v>
      </c>
      <c r="BI23" s="85">
        <f t="shared" si="38"/>
        <v>-0.4388535442694188</v>
      </c>
      <c r="BJ23" s="79"/>
      <c r="BK23" s="96">
        <f t="shared" si="49"/>
        <v>405326.36425367784</v>
      </c>
      <c r="BL23" s="96">
        <f t="shared" si="50"/>
        <v>281954.22740770341</v>
      </c>
      <c r="BM23" s="102">
        <f t="shared" si="39"/>
        <v>0.69562271856374813</v>
      </c>
      <c r="BN23" s="97">
        <f t="shared" si="12"/>
        <v>2026631.8212683892</v>
      </c>
      <c r="BO23" s="97">
        <f t="shared" si="13"/>
        <v>6079895.4638051679</v>
      </c>
      <c r="BP23" s="79"/>
      <c r="BQ23" s="46">
        <v>876316</v>
      </c>
      <c r="BR23" s="85">
        <f t="shared" si="51"/>
        <v>-0.53746552128036251</v>
      </c>
      <c r="BS23" s="79"/>
      <c r="BT23" s="79"/>
      <c r="BU23" s="79"/>
      <c r="BV23" s="79"/>
      <c r="BW23" s="79"/>
      <c r="BX23" s="79"/>
      <c r="BY23" s="79"/>
      <c r="BZ23" s="79"/>
      <c r="CA23" s="79"/>
      <c r="CB23" s="79"/>
      <c r="CC23" s="79"/>
      <c r="CD23" s="79"/>
      <c r="CE23" s="79"/>
      <c r="CF23" s="79"/>
      <c r="CG23" s="79"/>
      <c r="CH23" s="79"/>
    </row>
    <row r="24" spans="1:86" s="47" customFormat="1" ht="30" customHeight="1" x14ac:dyDescent="0.2">
      <c r="A24" s="30">
        <v>14</v>
      </c>
      <c r="B24" s="294" t="s">
        <v>40</v>
      </c>
      <c r="C24" s="294"/>
      <c r="D24" s="294"/>
      <c r="E24" s="294"/>
      <c r="F24" s="56" t="s">
        <v>39</v>
      </c>
      <c r="G24" s="8">
        <v>583860</v>
      </c>
      <c r="H24" s="8">
        <f t="shared" si="15"/>
        <v>110933.4</v>
      </c>
      <c r="I24" s="8">
        <f t="shared" si="16"/>
        <v>694793.4</v>
      </c>
      <c r="J24" s="8">
        <f t="shared" ref="J24:K24" si="66">+I24*AA24</f>
        <v>2779173.6</v>
      </c>
      <c r="K24" s="8">
        <f t="shared" si="66"/>
        <v>8337520.8000000007</v>
      </c>
      <c r="L24" s="8">
        <v>356700</v>
      </c>
      <c r="M24" s="8">
        <f t="shared" ref="M24:M26" si="67">+L24*19%</f>
        <v>67773</v>
      </c>
      <c r="N24" s="8">
        <f t="shared" ref="N24:N26" si="68">+M24+L24</f>
        <v>424473</v>
      </c>
      <c r="O24" s="8">
        <f t="shared" ref="O24:O26" si="69">+N24*AA24</f>
        <v>1697892</v>
      </c>
      <c r="P24" s="8">
        <f t="shared" ref="P24:P26" si="70">+O24*AB24</f>
        <v>5093676</v>
      </c>
      <c r="Q24" s="37">
        <v>318913</v>
      </c>
      <c r="R24" s="8">
        <f t="shared" si="57"/>
        <v>60593.47</v>
      </c>
      <c r="S24" s="8">
        <f t="shared" si="58"/>
        <v>379506.47</v>
      </c>
      <c r="T24" s="8">
        <f t="shared" si="59"/>
        <v>1518025.88</v>
      </c>
      <c r="U24" s="8">
        <f t="shared" si="60"/>
        <v>4554077.6399999997</v>
      </c>
      <c r="V24" s="53">
        <v>145000</v>
      </c>
      <c r="W24" s="53">
        <f t="shared" si="61"/>
        <v>27550</v>
      </c>
      <c r="X24" s="53">
        <f t="shared" si="62"/>
        <v>172550</v>
      </c>
      <c r="Y24" s="53">
        <f t="shared" si="63"/>
        <v>690200</v>
      </c>
      <c r="Z24" s="53">
        <f t="shared" si="64"/>
        <v>2070600</v>
      </c>
      <c r="AA24" s="64">
        <v>4</v>
      </c>
      <c r="AB24" s="64">
        <v>3</v>
      </c>
      <c r="AC24" s="9">
        <f t="shared" si="27"/>
        <v>417830.71749999997</v>
      </c>
      <c r="AD24" s="9">
        <f t="shared" si="28"/>
        <v>372786.32766259351</v>
      </c>
      <c r="AE24" s="9">
        <f t="shared" si="29"/>
        <v>1491145.310650374</v>
      </c>
      <c r="AF24" s="9">
        <f t="shared" si="30"/>
        <v>4473435.9319511224</v>
      </c>
      <c r="AG24" s="15"/>
      <c r="AH24" s="9">
        <f t="shared" si="3"/>
        <v>694793.4</v>
      </c>
      <c r="AI24" s="46">
        <f t="shared" si="4"/>
        <v>424473</v>
      </c>
      <c r="AJ24" s="46">
        <f t="shared" si="5"/>
        <v>379506.47</v>
      </c>
      <c r="AK24" s="46">
        <f t="shared" si="31"/>
        <v>172550</v>
      </c>
      <c r="AL24" s="94" t="s">
        <v>85</v>
      </c>
      <c r="AM24" s="94" t="s">
        <v>86</v>
      </c>
      <c r="AN24" s="95" t="s">
        <v>85</v>
      </c>
      <c r="AO24" s="95" t="s">
        <v>86</v>
      </c>
      <c r="AP24" s="95" t="s">
        <v>86</v>
      </c>
      <c r="AQ24" s="95" t="s">
        <v>86</v>
      </c>
      <c r="AR24" s="95" t="s">
        <v>86</v>
      </c>
      <c r="AS24" s="95" t="s">
        <v>86</v>
      </c>
      <c r="AT24" s="79"/>
      <c r="AU24" s="89">
        <f t="shared" si="32"/>
        <v>224289.11749999999</v>
      </c>
      <c r="AV24" s="89">
        <f t="shared" si="33"/>
        <v>627213.30000000005</v>
      </c>
      <c r="AW24" s="89">
        <f t="shared" si="34"/>
        <v>402924.18250000005</v>
      </c>
      <c r="AX24" s="46">
        <f t="shared" si="35"/>
        <v>-380097.15625000006</v>
      </c>
      <c r="AY24" s="46">
        <f t="shared" si="36"/>
        <v>1231599.57375</v>
      </c>
      <c r="AZ24" s="79"/>
      <c r="BA24" s="79"/>
      <c r="BB24" s="46">
        <f t="shared" si="6"/>
        <v>417830.71749999997</v>
      </c>
      <c r="BC24" s="46">
        <f t="shared" si="7"/>
        <v>185999.88288851269</v>
      </c>
      <c r="BD24" s="85">
        <f t="shared" si="37"/>
        <v>0.44515607660777762</v>
      </c>
      <c r="BE24" s="89">
        <f t="shared" si="8"/>
        <v>1671322.8699999999</v>
      </c>
      <c r="BF24" s="89">
        <f t="shared" si="9"/>
        <v>5013968.6099999994</v>
      </c>
      <c r="BG24" s="79"/>
      <c r="BH24" s="46">
        <v>694793.4</v>
      </c>
      <c r="BI24" s="85">
        <f t="shared" si="38"/>
        <v>-0.39862595485219066</v>
      </c>
      <c r="BJ24" s="79"/>
      <c r="BK24" s="96">
        <f t="shared" si="49"/>
        <v>372786.32766259351</v>
      </c>
      <c r="BL24" s="96">
        <f t="shared" si="50"/>
        <v>191376.470576622</v>
      </c>
      <c r="BM24" s="102">
        <f t="shared" si="39"/>
        <v>0.51336772938152286</v>
      </c>
      <c r="BN24" s="97">
        <f t="shared" si="12"/>
        <v>1491145.310650374</v>
      </c>
      <c r="BO24" s="97">
        <f t="shared" si="13"/>
        <v>4473435.9319511224</v>
      </c>
      <c r="BP24" s="79"/>
      <c r="BQ24" s="46">
        <v>694793.4</v>
      </c>
      <c r="BR24" s="85">
        <f t="shared" si="51"/>
        <v>-0.46345729872708419</v>
      </c>
      <c r="BS24" s="79"/>
      <c r="BT24" s="79"/>
      <c r="BU24" s="79"/>
      <c r="BV24" s="79"/>
      <c r="BW24" s="79"/>
      <c r="BX24" s="79"/>
      <c r="BY24" s="79"/>
      <c r="BZ24" s="79"/>
      <c r="CA24" s="79"/>
      <c r="CB24" s="79"/>
      <c r="CC24" s="79"/>
      <c r="CD24" s="79"/>
      <c r="CE24" s="79"/>
      <c r="CF24" s="79"/>
      <c r="CG24" s="79"/>
      <c r="CH24" s="79"/>
    </row>
    <row r="25" spans="1:86" s="47" customFormat="1" ht="30" customHeight="1" x14ac:dyDescent="0.2">
      <c r="A25" s="30">
        <v>15</v>
      </c>
      <c r="B25" s="294" t="s">
        <v>41</v>
      </c>
      <c r="C25" s="294"/>
      <c r="D25" s="294"/>
      <c r="E25" s="294"/>
      <c r="F25" s="56" t="s">
        <v>39</v>
      </c>
      <c r="G25" s="8">
        <v>481290</v>
      </c>
      <c r="H25" s="8">
        <f t="shared" si="15"/>
        <v>91445.1</v>
      </c>
      <c r="I25" s="8">
        <f t="shared" si="16"/>
        <v>572735.1</v>
      </c>
      <c r="J25" s="8">
        <f t="shared" ref="J25:K25" si="71">+I25*AA25</f>
        <v>572735.1</v>
      </c>
      <c r="K25" s="8">
        <f t="shared" si="71"/>
        <v>1718205.2999999998</v>
      </c>
      <c r="L25" s="8">
        <v>2880000</v>
      </c>
      <c r="M25" s="8">
        <f t="shared" si="67"/>
        <v>547200</v>
      </c>
      <c r="N25" s="8">
        <f t="shared" si="68"/>
        <v>3427200</v>
      </c>
      <c r="O25" s="8">
        <f t="shared" si="69"/>
        <v>3427200</v>
      </c>
      <c r="P25" s="8">
        <f t="shared" si="70"/>
        <v>10281600</v>
      </c>
      <c r="Q25" s="37">
        <v>318913</v>
      </c>
      <c r="R25" s="8">
        <f t="shared" si="57"/>
        <v>60593.47</v>
      </c>
      <c r="S25" s="8">
        <f t="shared" si="58"/>
        <v>379506.47</v>
      </c>
      <c r="T25" s="8">
        <f t="shared" si="59"/>
        <v>379506.47</v>
      </c>
      <c r="U25" s="8">
        <f t="shared" si="60"/>
        <v>1138519.4099999999</v>
      </c>
      <c r="V25" s="53">
        <v>480000</v>
      </c>
      <c r="W25" s="53">
        <f t="shared" si="61"/>
        <v>91200</v>
      </c>
      <c r="X25" s="53">
        <f t="shared" si="62"/>
        <v>571200</v>
      </c>
      <c r="Y25" s="53">
        <f t="shared" si="63"/>
        <v>571200</v>
      </c>
      <c r="Z25" s="53">
        <f t="shared" si="64"/>
        <v>1713600</v>
      </c>
      <c r="AA25" s="64">
        <v>1</v>
      </c>
      <c r="AB25" s="64">
        <v>3</v>
      </c>
      <c r="AC25" s="9">
        <f t="shared" si="27"/>
        <v>1237660.3925000001</v>
      </c>
      <c r="AD25" s="9">
        <f t="shared" si="28"/>
        <v>807653.64602966583</v>
      </c>
      <c r="AE25" s="9">
        <f t="shared" si="29"/>
        <v>807653.64602966583</v>
      </c>
      <c r="AF25" s="9">
        <f t="shared" si="30"/>
        <v>2422960.9380889977</v>
      </c>
      <c r="AG25" s="15"/>
      <c r="AH25" s="9">
        <f t="shared" si="3"/>
        <v>572735.1</v>
      </c>
      <c r="AI25" s="46">
        <f t="shared" si="4"/>
        <v>3427200</v>
      </c>
      <c r="AJ25" s="46">
        <f t="shared" si="5"/>
        <v>379506.47</v>
      </c>
      <c r="AK25" s="46">
        <f t="shared" si="31"/>
        <v>571200</v>
      </c>
      <c r="AL25" s="94" t="s">
        <v>85</v>
      </c>
      <c r="AM25" s="94" t="s">
        <v>86</v>
      </c>
      <c r="AN25" s="95" t="s">
        <v>85</v>
      </c>
      <c r="AO25" s="95" t="s">
        <v>86</v>
      </c>
      <c r="AP25" s="95" t="s">
        <v>86</v>
      </c>
      <c r="AQ25" s="95" t="s">
        <v>86</v>
      </c>
      <c r="AR25" s="95" t="s">
        <v>86</v>
      </c>
      <c r="AS25" s="95" t="s">
        <v>86</v>
      </c>
      <c r="AT25" s="79"/>
      <c r="AU25" s="89">
        <f t="shared" si="32"/>
        <v>427429.85249999998</v>
      </c>
      <c r="AV25" s="89">
        <f t="shared" si="33"/>
        <v>2713583.7749999999</v>
      </c>
      <c r="AW25" s="89">
        <f t="shared" si="34"/>
        <v>2286153.9224999999</v>
      </c>
      <c r="AX25" s="46">
        <f t="shared" si="35"/>
        <v>-3001801.03125</v>
      </c>
      <c r="AY25" s="46">
        <f>+AV25+AW25*1.5</f>
        <v>6142814.6587499995</v>
      </c>
      <c r="AZ25" s="79"/>
      <c r="BA25" s="79"/>
      <c r="BB25" s="46">
        <f t="shared" si="6"/>
        <v>1237660.3925000001</v>
      </c>
      <c r="BC25" s="46">
        <f t="shared" si="7"/>
        <v>1266570.8573635798</v>
      </c>
      <c r="BD25" s="85">
        <f t="shared" si="37"/>
        <v>1.0233589642512373</v>
      </c>
      <c r="BE25" s="89">
        <f t="shared" si="8"/>
        <v>1237660.3925000001</v>
      </c>
      <c r="BF25" s="89">
        <f t="shared" si="9"/>
        <v>3712981.1775000002</v>
      </c>
      <c r="BG25" s="79"/>
      <c r="BH25" s="46">
        <v>572735.1</v>
      </c>
      <c r="BI25" s="85">
        <f t="shared" si="38"/>
        <v>1.1609648029254713</v>
      </c>
      <c r="BJ25" s="79"/>
      <c r="BK25" s="96">
        <f t="shared" si="49"/>
        <v>807653.64602966583</v>
      </c>
      <c r="BL25" s="96">
        <f t="shared" si="50"/>
        <v>1337575.2460077587</v>
      </c>
      <c r="BM25" s="102">
        <f t="shared" si="39"/>
        <v>1.6561248161054278</v>
      </c>
      <c r="BN25" s="97">
        <f t="shared" si="12"/>
        <v>807653.64602966583</v>
      </c>
      <c r="BO25" s="97">
        <f t="shared" si="13"/>
        <v>2422960.9380889973</v>
      </c>
      <c r="BP25" s="79"/>
      <c r="BQ25" s="46">
        <v>572735.1</v>
      </c>
      <c r="BR25" s="85">
        <f t="shared" si="51"/>
        <v>0.41016963344775936</v>
      </c>
      <c r="BS25" s="79"/>
      <c r="BT25" s="79"/>
      <c r="BU25" s="79"/>
      <c r="BV25" s="79"/>
      <c r="BW25" s="79"/>
      <c r="BX25" s="79"/>
      <c r="BY25" s="79"/>
      <c r="BZ25" s="79"/>
      <c r="CA25" s="79"/>
      <c r="CB25" s="79"/>
      <c r="CC25" s="79"/>
      <c r="CD25" s="79"/>
      <c r="CE25" s="79"/>
      <c r="CF25" s="79"/>
      <c r="CG25" s="79"/>
      <c r="CH25" s="79"/>
    </row>
    <row r="26" spans="1:86" s="47" customFormat="1" ht="30" customHeight="1" x14ac:dyDescent="0.2">
      <c r="A26" s="30">
        <v>16</v>
      </c>
      <c r="B26" s="294" t="s">
        <v>42</v>
      </c>
      <c r="C26" s="294"/>
      <c r="D26" s="294"/>
      <c r="E26" s="294"/>
      <c r="F26" s="56" t="s">
        <v>39</v>
      </c>
      <c r="G26" s="8">
        <v>1788400</v>
      </c>
      <c r="H26" s="8">
        <f t="shared" si="15"/>
        <v>339796</v>
      </c>
      <c r="I26" s="8">
        <f t="shared" si="16"/>
        <v>2128196</v>
      </c>
      <c r="J26" s="8">
        <f t="shared" ref="J26:K26" si="72">+I26*AA26</f>
        <v>10640980</v>
      </c>
      <c r="K26" s="8">
        <f t="shared" si="72"/>
        <v>31922940</v>
      </c>
      <c r="L26" s="8">
        <v>598780</v>
      </c>
      <c r="M26" s="8">
        <f t="shared" si="67"/>
        <v>113768.2</v>
      </c>
      <c r="N26" s="8">
        <f t="shared" si="68"/>
        <v>712548.2</v>
      </c>
      <c r="O26" s="8">
        <f t="shared" si="69"/>
        <v>3562741</v>
      </c>
      <c r="P26" s="8">
        <f t="shared" si="70"/>
        <v>10688223</v>
      </c>
      <c r="Q26" s="37">
        <v>318913</v>
      </c>
      <c r="R26" s="8">
        <f t="shared" si="57"/>
        <v>60593.47</v>
      </c>
      <c r="S26" s="8">
        <f t="shared" si="58"/>
        <v>379506.47</v>
      </c>
      <c r="T26" s="8">
        <f t="shared" si="59"/>
        <v>1897532.3499999999</v>
      </c>
      <c r="U26" s="8">
        <f t="shared" si="60"/>
        <v>5692597.0499999998</v>
      </c>
      <c r="V26" s="53">
        <v>350000</v>
      </c>
      <c r="W26" s="53">
        <f t="shared" si="24"/>
        <v>66500</v>
      </c>
      <c r="X26" s="53">
        <f t="shared" si="25"/>
        <v>416500</v>
      </c>
      <c r="Y26" s="53">
        <f t="shared" si="2"/>
        <v>2082500</v>
      </c>
      <c r="Z26" s="53">
        <f t="shared" si="26"/>
        <v>6247500</v>
      </c>
      <c r="AA26" s="64">
        <v>5</v>
      </c>
      <c r="AB26" s="64">
        <v>3</v>
      </c>
      <c r="AC26" s="9">
        <f t="shared" si="27"/>
        <v>909187.66749999998</v>
      </c>
      <c r="AD26" s="9">
        <f t="shared" si="28"/>
        <v>699705.06068583508</v>
      </c>
      <c r="AE26" s="9">
        <f t="shared" si="29"/>
        <v>3498525.3034291756</v>
      </c>
      <c r="AF26" s="9">
        <f t="shared" si="30"/>
        <v>10495575.910287526</v>
      </c>
      <c r="AG26" s="15"/>
      <c r="AH26" s="9">
        <f t="shared" si="3"/>
        <v>2128196</v>
      </c>
      <c r="AI26" s="46">
        <f t="shared" si="4"/>
        <v>712548.2</v>
      </c>
      <c r="AJ26" s="46">
        <f t="shared" si="5"/>
        <v>379506.47</v>
      </c>
      <c r="AK26" s="46">
        <f t="shared" si="31"/>
        <v>416500</v>
      </c>
      <c r="AL26" s="94" t="s">
        <v>85</v>
      </c>
      <c r="AM26" s="94" t="s">
        <v>86</v>
      </c>
      <c r="AN26" s="95" t="s">
        <v>85</v>
      </c>
      <c r="AO26" s="95" t="s">
        <v>86</v>
      </c>
      <c r="AP26" s="95" t="s">
        <v>86</v>
      </c>
      <c r="AQ26" s="95" t="s">
        <v>86</v>
      </c>
      <c r="AR26" s="95" t="s">
        <v>86</v>
      </c>
      <c r="AS26" s="95" t="s">
        <v>86</v>
      </c>
      <c r="AT26" s="79"/>
      <c r="AU26" s="89">
        <f t="shared" si="32"/>
        <v>388754.85249999998</v>
      </c>
      <c r="AV26" s="89">
        <f t="shared" si="33"/>
        <v>1774284.05</v>
      </c>
      <c r="AW26" s="89">
        <f t="shared" si="34"/>
        <v>1385529.1975</v>
      </c>
      <c r="AX26" s="46">
        <f t="shared" si="35"/>
        <v>-1689538.9437500001</v>
      </c>
      <c r="AY26" s="46">
        <f t="shared" si="36"/>
        <v>3852577.8462500004</v>
      </c>
      <c r="AZ26" s="79"/>
      <c r="BA26" s="79"/>
      <c r="BB26" s="46">
        <f t="shared" si="6"/>
        <v>909187.66749999998</v>
      </c>
      <c r="BC26" s="46">
        <f t="shared" si="7"/>
        <v>715533.3157119134</v>
      </c>
      <c r="BD26" s="85">
        <f t="shared" si="37"/>
        <v>0.78700288322148126</v>
      </c>
      <c r="BE26" s="89">
        <f t="shared" si="8"/>
        <v>4545938.3375000004</v>
      </c>
      <c r="BF26" s="89">
        <f t="shared" si="9"/>
        <v>13637815.012500001</v>
      </c>
      <c r="BG26" s="79"/>
      <c r="BH26" s="46">
        <v>2128196</v>
      </c>
      <c r="BI26" s="85">
        <f t="shared" si="38"/>
        <v>-0.57278950458510403</v>
      </c>
      <c r="BJ26" s="79"/>
      <c r="BK26" s="96">
        <f t="shared" si="49"/>
        <v>699705.06068583508</v>
      </c>
      <c r="BL26" s="96">
        <f t="shared" si="50"/>
        <v>745567.49422929029</v>
      </c>
      <c r="BM26" s="102">
        <f t="shared" si="39"/>
        <v>1.0655453792180691</v>
      </c>
      <c r="BN26" s="97">
        <f t="shared" si="12"/>
        <v>3498525.3034291752</v>
      </c>
      <c r="BO26" s="97">
        <f t="shared" si="13"/>
        <v>10495575.910287526</v>
      </c>
      <c r="BP26" s="79"/>
      <c r="BQ26" s="46">
        <v>2128196</v>
      </c>
      <c r="BR26" s="85">
        <f t="shared" si="51"/>
        <v>-0.67122151310977229</v>
      </c>
      <c r="BS26" s="79"/>
      <c r="BT26" s="79"/>
      <c r="BU26" s="79"/>
      <c r="BV26" s="79"/>
      <c r="BW26" s="79"/>
      <c r="BX26" s="79"/>
      <c r="BY26" s="79"/>
      <c r="BZ26" s="79"/>
      <c r="CA26" s="79"/>
      <c r="CB26" s="79"/>
      <c r="CC26" s="79"/>
      <c r="CD26" s="79"/>
      <c r="CE26" s="79"/>
      <c r="CF26" s="79"/>
      <c r="CG26" s="79"/>
      <c r="CH26" s="79"/>
    </row>
    <row r="27" spans="1:86" customFormat="1" ht="24.75" customHeight="1" x14ac:dyDescent="0.2">
      <c r="A27" s="288" t="s">
        <v>17</v>
      </c>
      <c r="B27" s="289"/>
      <c r="C27" s="289"/>
      <c r="D27" s="289"/>
      <c r="E27" s="289"/>
      <c r="F27" s="289"/>
      <c r="G27" s="67"/>
      <c r="H27" s="55"/>
      <c r="I27" s="51">
        <f>SUM(I11:I26)</f>
        <v>13728742.020000001</v>
      </c>
      <c r="J27" s="21">
        <f>SUM(J11:J26)</f>
        <v>39248315.82</v>
      </c>
      <c r="K27" s="67">
        <f>SUM(K11:K26)</f>
        <v>117744947.46000001</v>
      </c>
      <c r="L27" s="21"/>
      <c r="M27" s="21"/>
      <c r="N27" s="51">
        <f>SUM(N11:N26)</f>
        <v>14080889.199999999</v>
      </c>
      <c r="O27" s="21">
        <f>SUM(O11:O26)</f>
        <v>29179157</v>
      </c>
      <c r="P27" s="67">
        <f>SUM(P11:P26)</f>
        <v>87537471</v>
      </c>
      <c r="Q27" s="21"/>
      <c r="R27" s="21"/>
      <c r="S27" s="51">
        <f>SUM(S11:S26)</f>
        <v>9487666.5100000016</v>
      </c>
      <c r="T27" s="51">
        <f>SUM(T11:T26)</f>
        <v>16318784.16</v>
      </c>
      <c r="U27" s="67">
        <f>SUM(U11:U26)</f>
        <v>48956352.479999989</v>
      </c>
      <c r="V27" s="21"/>
      <c r="W27" s="21"/>
      <c r="X27" s="51">
        <f>SUM(X11:X26)</f>
        <v>8443050</v>
      </c>
      <c r="Y27" s="51">
        <f>SUM(Y11:Y26)</f>
        <v>13387500</v>
      </c>
      <c r="Z27" s="67">
        <f>SUM(Z11:Z26)</f>
        <v>40162500</v>
      </c>
      <c r="AA27" s="290" t="s">
        <v>56</v>
      </c>
      <c r="AB27" s="291"/>
      <c r="AC27" s="51">
        <f>SUM(AC11:AC26)</f>
        <v>11435086.932499999</v>
      </c>
      <c r="AD27" s="51">
        <f>SUM(AD11:AD26)</f>
        <v>10436204.098372934</v>
      </c>
      <c r="AE27" s="51">
        <f>SUM(AE11:AE26)</f>
        <v>20877619.107937321</v>
      </c>
      <c r="AF27" s="21">
        <f>SUM(AF11:AF26)</f>
        <v>62632857.323811963</v>
      </c>
      <c r="AG27" s="54"/>
      <c r="AH27" s="38">
        <f>SUM(AH11:AH26)</f>
        <v>13728742.020000001</v>
      </c>
      <c r="AI27" s="38">
        <f t="shared" ref="AI27:AK27" si="73">SUM(AI11:AI26)</f>
        <v>14080889.199999999</v>
      </c>
      <c r="AJ27" s="38">
        <f t="shared" si="73"/>
        <v>9487666.5100000016</v>
      </c>
      <c r="AK27" s="38">
        <f t="shared" si="73"/>
        <v>8443050</v>
      </c>
      <c r="AL27" s="94" t="s">
        <v>85</v>
      </c>
      <c r="AM27" s="94" t="s">
        <v>86</v>
      </c>
      <c r="AN27" s="95" t="s">
        <v>85</v>
      </c>
      <c r="AO27" s="95" t="s">
        <v>86</v>
      </c>
      <c r="AP27" s="95" t="s">
        <v>86</v>
      </c>
      <c r="AQ27" s="95" t="s">
        <v>86</v>
      </c>
      <c r="AR27" s="95" t="s">
        <v>86</v>
      </c>
      <c r="AS27" s="95" t="s">
        <v>86</v>
      </c>
      <c r="AT27" s="81"/>
      <c r="AU27" s="89">
        <f t="shared" si="32"/>
        <v>8704204.1275000013</v>
      </c>
      <c r="AV27" s="89">
        <f t="shared" si="33"/>
        <v>13992852.404999999</v>
      </c>
      <c r="AW27" s="89">
        <f t="shared" si="34"/>
        <v>5288648.277499998</v>
      </c>
      <c r="AX27" s="46">
        <f t="shared" si="35"/>
        <v>771231.71125000436</v>
      </c>
      <c r="AY27" s="46">
        <f t="shared" si="36"/>
        <v>21925824.821249995</v>
      </c>
      <c r="AZ27" s="81"/>
      <c r="BA27" s="81"/>
      <c r="BB27" s="46">
        <f>SUM(BB11:BB26)</f>
        <v>11435086.932499999</v>
      </c>
      <c r="BC27" s="46"/>
      <c r="BD27" s="85"/>
      <c r="BE27" s="89"/>
      <c r="BF27" s="89">
        <f>SUM(BF11:BF26)</f>
        <v>73600317.734999999</v>
      </c>
      <c r="BG27" s="81"/>
      <c r="BH27" s="86"/>
      <c r="BI27" s="85"/>
      <c r="BJ27" s="81"/>
      <c r="BK27" s="96">
        <f>SUM(BK11:BK26)</f>
        <v>10436204.098372934</v>
      </c>
      <c r="BL27" s="96"/>
      <c r="BM27" s="102"/>
      <c r="BN27" s="97"/>
      <c r="BO27" s="97">
        <f>SUM(BO11:BO26)</f>
        <v>62632857.323811963</v>
      </c>
      <c r="BP27" s="81"/>
      <c r="BQ27" s="86"/>
      <c r="BR27" s="85"/>
      <c r="BS27" s="81"/>
      <c r="BT27" s="81"/>
      <c r="BU27" s="81"/>
      <c r="BV27" s="81"/>
      <c r="BW27" s="81"/>
      <c r="BX27" s="81"/>
      <c r="BY27" s="81"/>
      <c r="BZ27" s="81"/>
      <c r="CA27" s="81"/>
      <c r="CB27" s="81"/>
      <c r="CC27" s="81"/>
      <c r="CD27" s="81"/>
      <c r="CE27" s="81"/>
      <c r="CF27" s="81"/>
      <c r="CG27" s="81"/>
      <c r="CH27" s="81"/>
    </row>
    <row r="28" spans="1:86" s="52" customFormat="1" ht="24.75" customHeight="1" x14ac:dyDescent="0.2">
      <c r="A28" s="113"/>
      <c r="B28" s="113"/>
      <c r="C28" s="113"/>
      <c r="D28" s="113"/>
      <c r="E28" s="113"/>
      <c r="F28" s="113"/>
      <c r="G28" s="113"/>
      <c r="H28" s="113"/>
      <c r="I28" s="113"/>
      <c r="J28" s="113"/>
      <c r="K28" s="114"/>
      <c r="L28" s="115"/>
      <c r="M28" s="115"/>
      <c r="N28" s="116"/>
      <c r="O28" s="115"/>
      <c r="P28" s="114"/>
      <c r="Q28" s="115"/>
      <c r="R28" s="115"/>
      <c r="S28" s="116"/>
      <c r="T28" s="115"/>
      <c r="U28" s="114"/>
      <c r="V28" s="115"/>
      <c r="W28" s="115"/>
      <c r="X28" s="116"/>
      <c r="Y28" s="115"/>
      <c r="Z28" s="114"/>
      <c r="AA28" s="117"/>
      <c r="AB28" s="117"/>
      <c r="AC28" s="115"/>
      <c r="AD28" s="115"/>
      <c r="AE28" s="115"/>
      <c r="AF28" s="115"/>
      <c r="AG28" s="137"/>
      <c r="AH28" s="161"/>
      <c r="AI28" s="161"/>
      <c r="AJ28" s="161"/>
      <c r="AK28" s="161"/>
      <c r="AL28" s="147"/>
      <c r="AM28" s="147"/>
      <c r="AN28" s="148"/>
      <c r="AO28" s="148"/>
      <c r="AP28" s="148"/>
      <c r="AQ28" s="148"/>
      <c r="AR28" s="148"/>
      <c r="AS28" s="148"/>
      <c r="AT28" s="149"/>
      <c r="AU28" s="162"/>
      <c r="AV28" s="162"/>
      <c r="AW28" s="162"/>
      <c r="AX28" s="163"/>
      <c r="AY28" s="163"/>
      <c r="AZ28" s="149"/>
      <c r="BA28" s="149"/>
      <c r="BB28" s="163"/>
      <c r="BC28" s="163"/>
      <c r="BD28" s="164"/>
      <c r="BE28" s="162"/>
      <c r="BF28" s="162"/>
      <c r="BG28" s="149"/>
      <c r="BH28" s="154"/>
      <c r="BI28" s="165"/>
      <c r="BJ28" s="149"/>
      <c r="BK28" s="148"/>
      <c r="BL28" s="148"/>
      <c r="BM28" s="166"/>
      <c r="BN28" s="157"/>
      <c r="BO28" s="157"/>
      <c r="BP28" s="149"/>
      <c r="BQ28" s="154"/>
      <c r="BR28" s="164"/>
      <c r="BS28" s="82"/>
      <c r="BT28" s="82"/>
      <c r="BU28" s="82"/>
      <c r="BV28" s="82"/>
      <c r="BW28" s="82"/>
      <c r="BX28" s="82"/>
      <c r="BY28" s="82"/>
      <c r="BZ28" s="82"/>
      <c r="CA28" s="82"/>
      <c r="CB28" s="82"/>
      <c r="CC28" s="82"/>
      <c r="CD28" s="82"/>
      <c r="CE28" s="82"/>
      <c r="CF28" s="82"/>
      <c r="CG28" s="82"/>
      <c r="CH28" s="82"/>
    </row>
    <row r="29" spans="1:86" s="121" customFormat="1" ht="24.75" customHeight="1" x14ac:dyDescent="0.2">
      <c r="A29" s="344" t="s">
        <v>63</v>
      </c>
      <c r="B29" s="344"/>
      <c r="C29" s="344"/>
      <c r="D29" s="344"/>
      <c r="E29" s="344"/>
      <c r="F29" s="344" t="s">
        <v>51</v>
      </c>
      <c r="G29" s="344"/>
      <c r="H29" s="344"/>
      <c r="I29" s="344" t="s">
        <v>52</v>
      </c>
      <c r="J29" s="344"/>
      <c r="K29" s="344"/>
      <c r="L29" s="344" t="s">
        <v>53</v>
      </c>
      <c r="M29" s="344"/>
      <c r="N29" s="344"/>
      <c r="O29" s="319" t="s">
        <v>43</v>
      </c>
      <c r="P29" s="319"/>
      <c r="Q29" s="319" t="s">
        <v>117</v>
      </c>
      <c r="R29" s="319"/>
      <c r="S29" s="319" t="s">
        <v>116</v>
      </c>
      <c r="T29" s="319"/>
      <c r="U29" s="131"/>
      <c r="V29" s="132"/>
      <c r="W29" s="132"/>
      <c r="X29" s="133"/>
      <c r="Y29" s="132"/>
      <c r="Z29" s="134"/>
      <c r="AA29" s="135"/>
      <c r="AB29" s="135"/>
      <c r="AC29" s="132"/>
      <c r="AD29" s="132"/>
      <c r="AE29" s="132"/>
      <c r="AF29" s="132"/>
      <c r="AG29" s="132"/>
      <c r="AH29" s="167"/>
      <c r="AI29" s="167"/>
      <c r="AJ29" s="167"/>
      <c r="AK29" s="160"/>
      <c r="AL29" s="168"/>
      <c r="AM29" s="168"/>
      <c r="AN29" s="169"/>
      <c r="AO29" s="169"/>
      <c r="AP29" s="169"/>
      <c r="AQ29" s="169"/>
      <c r="AR29" s="169"/>
      <c r="AS29" s="169"/>
      <c r="AT29" s="159"/>
      <c r="AU29" s="170"/>
      <c r="AV29" s="170"/>
      <c r="AW29" s="170"/>
      <c r="AX29" s="171"/>
      <c r="AY29" s="171"/>
      <c r="AZ29" s="159"/>
      <c r="BA29" s="159"/>
      <c r="BB29" s="171"/>
      <c r="BC29" s="171"/>
      <c r="BD29" s="172"/>
      <c r="BE29" s="170"/>
      <c r="BF29" s="170"/>
      <c r="BG29" s="159"/>
      <c r="BH29" s="171"/>
      <c r="BI29" s="172"/>
      <c r="BJ29" s="159"/>
      <c r="BK29" s="173"/>
      <c r="BL29" s="173"/>
      <c r="BM29" s="174"/>
      <c r="BN29" s="175"/>
      <c r="BO29" s="175"/>
      <c r="BP29" s="159"/>
      <c r="BQ29" s="171"/>
      <c r="BR29" s="172"/>
      <c r="BS29" s="79"/>
      <c r="BT29" s="79"/>
      <c r="BU29" s="79"/>
      <c r="BV29" s="79"/>
      <c r="BW29" s="79"/>
      <c r="BX29" s="79"/>
      <c r="BY29" s="79"/>
      <c r="BZ29" s="79"/>
      <c r="CA29" s="79"/>
      <c r="CB29" s="79"/>
      <c r="CC29" s="79"/>
      <c r="CD29" s="79"/>
      <c r="CE29" s="79"/>
      <c r="CF29" s="79"/>
      <c r="CG29" s="79"/>
      <c r="CH29" s="79"/>
    </row>
    <row r="30" spans="1:86" s="121" customFormat="1" ht="89.25" customHeight="1" x14ac:dyDescent="0.2">
      <c r="A30" s="122" t="s">
        <v>7</v>
      </c>
      <c r="B30" s="349" t="s">
        <v>64</v>
      </c>
      <c r="C30" s="350"/>
      <c r="D30" s="350"/>
      <c r="E30" s="351"/>
      <c r="F30" s="123" t="s">
        <v>65</v>
      </c>
      <c r="G30" s="124" t="s">
        <v>13</v>
      </c>
      <c r="H30" s="123" t="s">
        <v>16</v>
      </c>
      <c r="I30" s="123" t="s">
        <v>65</v>
      </c>
      <c r="J30" s="124" t="s">
        <v>13</v>
      </c>
      <c r="K30" s="123" t="s">
        <v>16</v>
      </c>
      <c r="L30" s="123" t="s">
        <v>65</v>
      </c>
      <c r="M30" s="124" t="s">
        <v>13</v>
      </c>
      <c r="N30" s="123" t="s">
        <v>16</v>
      </c>
      <c r="O30" s="319"/>
      <c r="P30" s="319"/>
      <c r="Q30" s="319"/>
      <c r="R30" s="319"/>
      <c r="S30" s="319"/>
      <c r="T30" s="319"/>
      <c r="U30" s="131"/>
      <c r="V30" s="132"/>
      <c r="W30" s="132"/>
      <c r="X30" s="133"/>
      <c r="Y30" s="132"/>
      <c r="Z30" s="134"/>
      <c r="AA30" s="135"/>
      <c r="AB30" s="135"/>
      <c r="AC30" s="132"/>
      <c r="AD30" s="132"/>
      <c r="AE30" s="132"/>
      <c r="AF30" s="132"/>
      <c r="AG30" s="132"/>
      <c r="AH30" s="38" t="s">
        <v>101</v>
      </c>
      <c r="AI30" s="38" t="s">
        <v>102</v>
      </c>
      <c r="AJ30" s="38" t="s">
        <v>103</v>
      </c>
      <c r="AK30" s="143"/>
      <c r="AL30" s="141"/>
      <c r="AM30" s="118"/>
      <c r="AN30" s="119"/>
      <c r="AO30" s="119"/>
      <c r="AP30" s="119"/>
      <c r="AQ30" s="119"/>
      <c r="AR30" s="119"/>
      <c r="AS30" s="119"/>
      <c r="AT30" s="79"/>
      <c r="AU30" s="74" t="s">
        <v>88</v>
      </c>
      <c r="AV30" s="74" t="s">
        <v>89</v>
      </c>
      <c r="AW30" s="74" t="s">
        <v>78</v>
      </c>
      <c r="AX30" s="76" t="s">
        <v>79</v>
      </c>
      <c r="AY30" s="76" t="s">
        <v>80</v>
      </c>
      <c r="AZ30" s="79"/>
      <c r="BA30" s="79"/>
      <c r="BB30" s="46" t="s">
        <v>92</v>
      </c>
      <c r="BC30" s="46"/>
      <c r="BD30" s="100" t="s">
        <v>99</v>
      </c>
      <c r="BE30" s="89"/>
      <c r="BF30" s="89"/>
      <c r="BG30" s="79"/>
      <c r="BH30" s="176"/>
      <c r="BI30" s="85"/>
      <c r="BJ30" s="79"/>
      <c r="BK30" s="177" t="s">
        <v>98</v>
      </c>
      <c r="BL30" s="178"/>
      <c r="BM30" s="100" t="s">
        <v>99</v>
      </c>
      <c r="BN30" s="120"/>
      <c r="BO30" s="120"/>
      <c r="BP30" s="79"/>
      <c r="BQ30" s="46"/>
      <c r="BR30" s="85"/>
      <c r="BS30" s="79"/>
      <c r="BT30" s="79"/>
      <c r="BU30" s="79"/>
      <c r="BV30" s="79"/>
      <c r="BW30" s="79"/>
      <c r="BX30" s="79"/>
      <c r="BY30" s="79"/>
      <c r="BZ30" s="79"/>
      <c r="CA30" s="79"/>
      <c r="CB30" s="79"/>
      <c r="CC30" s="79"/>
      <c r="CD30" s="79"/>
      <c r="CE30" s="79"/>
      <c r="CF30" s="79"/>
      <c r="CG30" s="79"/>
      <c r="CH30" s="79"/>
    </row>
    <row r="31" spans="1:86" customFormat="1" ht="24.75" customHeight="1" x14ac:dyDescent="0.2">
      <c r="A31" s="68">
        <v>1</v>
      </c>
      <c r="B31" s="345" t="s">
        <v>66</v>
      </c>
      <c r="C31" s="346"/>
      <c r="D31" s="346"/>
      <c r="E31" s="347"/>
      <c r="F31" s="125">
        <v>6772500</v>
      </c>
      <c r="G31" s="126">
        <f>+F31*19%</f>
        <v>1286775</v>
      </c>
      <c r="H31" s="126">
        <f>+G31+F31</f>
        <v>8059275</v>
      </c>
      <c r="I31" s="126">
        <v>3600000</v>
      </c>
      <c r="J31" s="128">
        <f>+I31*19%</f>
        <v>684000</v>
      </c>
      <c r="K31" s="128">
        <f>+J31+I31</f>
        <v>4284000</v>
      </c>
      <c r="L31" s="129">
        <v>2107000</v>
      </c>
      <c r="M31" s="129">
        <f>+L31*19%</f>
        <v>400330</v>
      </c>
      <c r="N31" s="129">
        <f>+M31+L31</f>
        <v>2507330</v>
      </c>
      <c r="O31" s="348" t="s">
        <v>106</v>
      </c>
      <c r="P31" s="348"/>
      <c r="Q31" s="352">
        <f>AVERAGE(H31,K31,N31)</f>
        <v>4950201.666666667</v>
      </c>
      <c r="R31" s="352"/>
      <c r="S31" s="320">
        <f>GEOMEAN(H31,K31,N31)</f>
        <v>4423699.7739108093</v>
      </c>
      <c r="T31" s="320"/>
      <c r="U31" s="136"/>
      <c r="V31" s="137"/>
      <c r="W31" s="137"/>
      <c r="X31" s="138"/>
      <c r="Y31" s="137"/>
      <c r="Z31" s="139"/>
      <c r="AA31" s="140"/>
      <c r="AB31" s="140"/>
      <c r="AC31" s="137"/>
      <c r="AD31" s="137"/>
      <c r="AE31" s="137"/>
      <c r="AF31" s="137"/>
      <c r="AG31" s="137"/>
      <c r="AH31" s="9">
        <f>+H31</f>
        <v>8059275</v>
      </c>
      <c r="AI31" s="9">
        <f>+K31</f>
        <v>4284000</v>
      </c>
      <c r="AJ31" s="9">
        <f>+N31</f>
        <v>2507330</v>
      </c>
      <c r="AK31" s="144"/>
      <c r="AL31" s="142" t="s">
        <v>85</v>
      </c>
      <c r="AM31" s="94" t="s">
        <v>86</v>
      </c>
      <c r="AN31" s="95" t="s">
        <v>85</v>
      </c>
      <c r="AO31" s="95" t="s">
        <v>86</v>
      </c>
      <c r="AP31" s="95" t="s">
        <v>86</v>
      </c>
      <c r="AQ31" s="95" t="s">
        <v>86</v>
      </c>
      <c r="AR31" s="95" t="s">
        <v>86</v>
      </c>
      <c r="AS31" s="95" t="s">
        <v>86</v>
      </c>
      <c r="AT31" s="81"/>
      <c r="AU31" s="89">
        <f>_xlfn.QUARTILE.EXC(AH31:AJ31,1)</f>
        <v>2507330</v>
      </c>
      <c r="AV31" s="89">
        <f>_xlfn.QUARTILE.EXC(AH31:AJ31,3)</f>
        <v>8059275</v>
      </c>
      <c r="AW31" s="89">
        <f>+AV31-AU31</f>
        <v>5551945</v>
      </c>
      <c r="AX31" s="46">
        <f>+AU31-AW31*1.5</f>
        <v>-5820587.5</v>
      </c>
      <c r="AY31" s="46">
        <f>+AV31+AW31*1.5</f>
        <v>16387192.5</v>
      </c>
      <c r="AZ31" s="81"/>
      <c r="BA31" s="81"/>
      <c r="BB31" s="46">
        <f t="shared" ref="BB31:BB37" si="74">AVERAGE(AH31:AK31)</f>
        <v>4950201.666666667</v>
      </c>
      <c r="BC31" s="46">
        <f t="shared" ref="BC31:BC37" si="75">_xlfn.STDEV.P(AH31:AK31)</f>
        <v>2315007.8209023159</v>
      </c>
      <c r="BD31" s="85">
        <f t="shared" si="37"/>
        <v>0.46765929487094615</v>
      </c>
      <c r="BE31" s="89"/>
      <c r="BF31" s="89"/>
      <c r="BG31" s="81"/>
      <c r="BH31" s="86"/>
      <c r="BI31" s="98"/>
      <c r="BJ31" s="81"/>
      <c r="BK31" s="96">
        <f>GEOMEAN(AH31:AJ31)</f>
        <v>4423699.7739108093</v>
      </c>
      <c r="BL31" s="96">
        <f t="shared" ref="BL31:BL37" si="76">+SQRT(((AH31-BK31)^2+(AI31-BK31)^2+(AJ31-BK31)^2)/3)</f>
        <v>2374124.1445877235</v>
      </c>
      <c r="BM31" s="102">
        <f t="shared" si="39"/>
        <v>0.53668292739696011</v>
      </c>
      <c r="BN31" s="97">
        <f t="shared" ref="BN31:BN37" si="77">+BK31*AA31</f>
        <v>0</v>
      </c>
      <c r="BO31" s="97">
        <f t="shared" ref="BO31:BO37" si="78">+BN31*AB31</f>
        <v>0</v>
      </c>
      <c r="BP31" s="81"/>
      <c r="BQ31" s="86"/>
      <c r="BR31" s="85"/>
      <c r="BS31" s="81"/>
      <c r="BT31" s="81"/>
      <c r="BU31" s="81"/>
      <c r="BV31" s="81"/>
      <c r="BW31" s="81"/>
      <c r="BX31" s="81"/>
      <c r="BY31" s="81"/>
      <c r="BZ31" s="81"/>
      <c r="CA31" s="81"/>
      <c r="CB31" s="81"/>
      <c r="CC31" s="81"/>
      <c r="CD31" s="81"/>
      <c r="CE31" s="81"/>
      <c r="CF31" s="81"/>
      <c r="CG31" s="81"/>
      <c r="CH31" s="81"/>
    </row>
    <row r="32" spans="1:86" customFormat="1" ht="24.75" customHeight="1" x14ac:dyDescent="0.2">
      <c r="A32" s="68">
        <v>2</v>
      </c>
      <c r="B32" s="345" t="s">
        <v>67</v>
      </c>
      <c r="C32" s="346"/>
      <c r="D32" s="346"/>
      <c r="E32" s="347"/>
      <c r="F32" s="125">
        <v>5495400</v>
      </c>
      <c r="G32" s="126">
        <f t="shared" ref="G32:G37" si="79">+F32*19%</f>
        <v>1044126</v>
      </c>
      <c r="H32" s="126">
        <f t="shared" ref="H32:H37" si="80">+G32+F32</f>
        <v>6539526</v>
      </c>
      <c r="I32" s="126">
        <v>220000</v>
      </c>
      <c r="J32" s="128">
        <f t="shared" ref="J32:J37" si="81">+I32*19%</f>
        <v>41800</v>
      </c>
      <c r="K32" s="128">
        <f t="shared" ref="K32:K37" si="82">+J32+I32</f>
        <v>261800</v>
      </c>
      <c r="L32" s="129">
        <v>2442400</v>
      </c>
      <c r="M32" s="129">
        <f t="shared" ref="M32:M37" si="83">+L32*19%</f>
        <v>464056</v>
      </c>
      <c r="N32" s="129">
        <f t="shared" ref="N32:N36" si="84">+M32+L32</f>
        <v>2906456</v>
      </c>
      <c r="O32" s="348" t="s">
        <v>106</v>
      </c>
      <c r="P32" s="348"/>
      <c r="Q32" s="352">
        <f t="shared" ref="Q32:Q37" si="85">AVERAGE(H32,K32,N32)</f>
        <v>3235927.3333333335</v>
      </c>
      <c r="R32" s="352"/>
      <c r="S32" s="320">
        <f t="shared" ref="S32:S37" si="86">GEOMEAN(H32,K32,N32)</f>
        <v>1707234.6708171789</v>
      </c>
      <c r="T32" s="320"/>
      <c r="U32" s="136"/>
      <c r="V32" s="137"/>
      <c r="W32" s="137"/>
      <c r="X32" s="138"/>
      <c r="Y32" s="137"/>
      <c r="Z32" s="139"/>
      <c r="AA32" s="140"/>
      <c r="AB32" s="140"/>
      <c r="AC32" s="137"/>
      <c r="AD32" s="137"/>
      <c r="AE32" s="137"/>
      <c r="AF32" s="137"/>
      <c r="AG32" s="137"/>
      <c r="AH32" s="9">
        <f t="shared" ref="AH32:AH37" si="87">+H32</f>
        <v>6539526</v>
      </c>
      <c r="AI32" s="9">
        <f t="shared" ref="AI32:AI37" si="88">+K32</f>
        <v>261800</v>
      </c>
      <c r="AJ32" s="9">
        <f t="shared" ref="AJ32:AJ37" si="89">+N32</f>
        <v>2906456</v>
      </c>
      <c r="AK32" s="144"/>
      <c r="AL32" s="142" t="s">
        <v>85</v>
      </c>
      <c r="AM32" s="94" t="s">
        <v>86</v>
      </c>
      <c r="AN32" s="95" t="s">
        <v>85</v>
      </c>
      <c r="AO32" s="95" t="s">
        <v>86</v>
      </c>
      <c r="AP32" s="95" t="s">
        <v>86</v>
      </c>
      <c r="AQ32" s="95" t="s">
        <v>86</v>
      </c>
      <c r="AR32" s="95" t="s">
        <v>86</v>
      </c>
      <c r="AS32" s="95" t="s">
        <v>86</v>
      </c>
      <c r="AT32" s="81"/>
      <c r="AU32" s="89">
        <f t="shared" ref="AU32:AU37" si="90">_xlfn.QUARTILE.EXC(AH32:AJ32,1)</f>
        <v>261800</v>
      </c>
      <c r="AV32" s="89">
        <f t="shared" ref="AV32:AV37" si="91">_xlfn.QUARTILE.EXC(AH32:AJ32,3)</f>
        <v>6539526</v>
      </c>
      <c r="AW32" s="89">
        <f t="shared" si="34"/>
        <v>6277726</v>
      </c>
      <c r="AX32" s="46">
        <f t="shared" ref="AX32:AX37" si="92">+AU32-AW32*1.5</f>
        <v>-9154789</v>
      </c>
      <c r="AY32" s="46">
        <f t="shared" ref="AY32:AY37" si="93">+AV32+AW32*1.5</f>
        <v>15956115</v>
      </c>
      <c r="AZ32" s="81"/>
      <c r="BA32" s="81"/>
      <c r="BB32" s="46">
        <f t="shared" si="74"/>
        <v>3235927.3333333335</v>
      </c>
      <c r="BC32" s="46">
        <f t="shared" si="75"/>
        <v>2573437.966661891</v>
      </c>
      <c r="BD32" s="85">
        <f t="shared" si="37"/>
        <v>0.79527062927305869</v>
      </c>
      <c r="BE32" s="89"/>
      <c r="BF32" s="89"/>
      <c r="BG32" s="81"/>
      <c r="BH32" s="86"/>
      <c r="BI32" s="86"/>
      <c r="BJ32" s="81"/>
      <c r="BK32" s="96">
        <f>GEOMEAN(AH32:AJ32)</f>
        <v>1707234.6708171789</v>
      </c>
      <c r="BL32" s="96">
        <f t="shared" si="76"/>
        <v>2993239.7539601834</v>
      </c>
      <c r="BM32" s="102">
        <f t="shared" si="39"/>
        <v>1.7532679045977024</v>
      </c>
      <c r="BN32" s="97">
        <f t="shared" si="77"/>
        <v>0</v>
      </c>
      <c r="BO32" s="97">
        <f t="shared" si="78"/>
        <v>0</v>
      </c>
      <c r="BP32" s="81"/>
      <c r="BQ32" s="86"/>
      <c r="BR32" s="85"/>
      <c r="BS32" s="81"/>
      <c r="BT32" s="81"/>
      <c r="BU32" s="81"/>
      <c r="BV32" s="81"/>
      <c r="BW32" s="81"/>
      <c r="BX32" s="81"/>
      <c r="BY32" s="81"/>
      <c r="BZ32" s="81"/>
      <c r="CA32" s="81"/>
      <c r="CB32" s="81"/>
      <c r="CC32" s="81"/>
      <c r="CD32" s="81"/>
      <c r="CE32" s="81"/>
      <c r="CF32" s="81"/>
      <c r="CG32" s="81"/>
      <c r="CH32" s="81"/>
    </row>
    <row r="33" spans="1:86" customFormat="1" ht="24.75" customHeight="1" x14ac:dyDescent="0.2">
      <c r="A33" s="68">
        <v>3</v>
      </c>
      <c r="B33" s="345" t="s">
        <v>68</v>
      </c>
      <c r="C33" s="346"/>
      <c r="D33" s="346"/>
      <c r="E33" s="347"/>
      <c r="F33" s="125">
        <v>851400</v>
      </c>
      <c r="G33" s="126">
        <f t="shared" si="79"/>
        <v>161766</v>
      </c>
      <c r="H33" s="126">
        <f t="shared" si="80"/>
        <v>1013166</v>
      </c>
      <c r="I33" s="126">
        <v>400000</v>
      </c>
      <c r="J33" s="128">
        <f t="shared" si="81"/>
        <v>76000</v>
      </c>
      <c r="K33" s="128">
        <f t="shared" si="82"/>
        <v>476000</v>
      </c>
      <c r="L33" s="129">
        <v>378400</v>
      </c>
      <c r="M33" s="129">
        <f t="shared" si="83"/>
        <v>71896</v>
      </c>
      <c r="N33" s="129">
        <f t="shared" si="84"/>
        <v>450296</v>
      </c>
      <c r="O33" s="348" t="s">
        <v>106</v>
      </c>
      <c r="P33" s="348"/>
      <c r="Q33" s="352">
        <f t="shared" si="85"/>
        <v>646487.33333333337</v>
      </c>
      <c r="R33" s="352"/>
      <c r="S33" s="320">
        <f t="shared" si="86"/>
        <v>601074.84026677266</v>
      </c>
      <c r="T33" s="320"/>
      <c r="U33" s="136"/>
      <c r="V33" s="137"/>
      <c r="W33" s="137"/>
      <c r="X33" s="138"/>
      <c r="Y33" s="137"/>
      <c r="Z33" s="139"/>
      <c r="AA33" s="140"/>
      <c r="AB33" s="140"/>
      <c r="AC33" s="137"/>
      <c r="AD33" s="137"/>
      <c r="AE33" s="137"/>
      <c r="AF33" s="137"/>
      <c r="AG33" s="137"/>
      <c r="AH33" s="9">
        <f t="shared" si="87"/>
        <v>1013166</v>
      </c>
      <c r="AI33" s="9">
        <f t="shared" si="88"/>
        <v>476000</v>
      </c>
      <c r="AJ33" s="9">
        <f t="shared" si="89"/>
        <v>450296</v>
      </c>
      <c r="AK33" s="144"/>
      <c r="AL33" s="142" t="s">
        <v>85</v>
      </c>
      <c r="AM33" s="94" t="s">
        <v>86</v>
      </c>
      <c r="AN33" s="95" t="s">
        <v>85</v>
      </c>
      <c r="AO33" s="95" t="s">
        <v>86</v>
      </c>
      <c r="AP33" s="95" t="s">
        <v>86</v>
      </c>
      <c r="AQ33" s="95" t="s">
        <v>86</v>
      </c>
      <c r="AR33" s="95" t="s">
        <v>86</v>
      </c>
      <c r="AS33" s="95" t="s">
        <v>86</v>
      </c>
      <c r="AT33" s="81"/>
      <c r="AU33" s="89">
        <f t="shared" si="90"/>
        <v>450296</v>
      </c>
      <c r="AV33" s="89">
        <f t="shared" si="91"/>
        <v>1013166</v>
      </c>
      <c r="AW33" s="89">
        <f t="shared" si="34"/>
        <v>562870</v>
      </c>
      <c r="AX33" s="46">
        <f t="shared" si="92"/>
        <v>-394009</v>
      </c>
      <c r="AY33" s="46">
        <f t="shared" si="93"/>
        <v>1857471</v>
      </c>
      <c r="AZ33" s="81"/>
      <c r="BA33" s="81"/>
      <c r="BB33" s="46">
        <f t="shared" si="74"/>
        <v>646487.33333333337</v>
      </c>
      <c r="BC33" s="46">
        <f t="shared" si="75"/>
        <v>259493.23349602436</v>
      </c>
      <c r="BD33" s="85">
        <f t="shared" si="37"/>
        <v>0.40138950930107065</v>
      </c>
      <c r="BE33" s="89"/>
      <c r="BF33" s="89"/>
      <c r="BG33" s="81"/>
      <c r="BH33" s="86"/>
      <c r="BI33" s="86"/>
      <c r="BJ33" s="81"/>
      <c r="BK33" s="96">
        <f>GEOMEAN(AH33:AJ33)</f>
        <v>601074.84026677266</v>
      </c>
      <c r="BL33" s="96">
        <f t="shared" si="76"/>
        <v>263436.96163739555</v>
      </c>
      <c r="BM33" s="102">
        <f t="shared" si="39"/>
        <v>0.43827647405849723</v>
      </c>
      <c r="BN33" s="97">
        <f t="shared" si="77"/>
        <v>0</v>
      </c>
      <c r="BO33" s="97">
        <f t="shared" si="78"/>
        <v>0</v>
      </c>
      <c r="BP33" s="81"/>
      <c r="BQ33" s="86"/>
      <c r="BR33" s="85"/>
      <c r="BS33" s="81"/>
      <c r="BT33" s="81"/>
      <c r="BU33" s="81"/>
      <c r="BV33" s="81"/>
      <c r="BW33" s="81"/>
      <c r="BX33" s="81"/>
      <c r="BY33" s="81"/>
      <c r="BZ33" s="81"/>
      <c r="CA33" s="81"/>
      <c r="CB33" s="81"/>
      <c r="CC33" s="81"/>
      <c r="CD33" s="81"/>
      <c r="CE33" s="81"/>
      <c r="CF33" s="81"/>
      <c r="CG33" s="81"/>
      <c r="CH33" s="81"/>
    </row>
    <row r="34" spans="1:86" customFormat="1" ht="24.75" customHeight="1" x14ac:dyDescent="0.2">
      <c r="A34" s="68">
        <v>4</v>
      </c>
      <c r="B34" s="345" t="s">
        <v>69</v>
      </c>
      <c r="C34" s="346"/>
      <c r="D34" s="346"/>
      <c r="E34" s="347"/>
      <c r="F34" s="125">
        <v>3676500</v>
      </c>
      <c r="G34" s="126">
        <f t="shared" si="79"/>
        <v>698535</v>
      </c>
      <c r="H34" s="126">
        <f t="shared" si="80"/>
        <v>4375035</v>
      </c>
      <c r="I34" s="126">
        <v>400000</v>
      </c>
      <c r="J34" s="128">
        <f t="shared" si="81"/>
        <v>76000</v>
      </c>
      <c r="K34" s="128">
        <f t="shared" si="82"/>
        <v>476000</v>
      </c>
      <c r="L34" s="129">
        <v>1634000</v>
      </c>
      <c r="M34" s="129">
        <f t="shared" si="83"/>
        <v>310460</v>
      </c>
      <c r="N34" s="129">
        <f t="shared" si="84"/>
        <v>1944460</v>
      </c>
      <c r="O34" s="348" t="s">
        <v>106</v>
      </c>
      <c r="P34" s="348"/>
      <c r="Q34" s="352">
        <f t="shared" si="85"/>
        <v>2265165</v>
      </c>
      <c r="R34" s="352"/>
      <c r="S34" s="320">
        <f t="shared" si="86"/>
        <v>1593905.2434930669</v>
      </c>
      <c r="T34" s="320"/>
      <c r="U34" s="136"/>
      <c r="V34" s="137"/>
      <c r="W34" s="137"/>
      <c r="X34" s="138"/>
      <c r="Y34" s="137"/>
      <c r="Z34" s="139"/>
      <c r="AA34" s="140"/>
      <c r="AB34" s="140"/>
      <c r="AC34" s="137"/>
      <c r="AD34" s="137"/>
      <c r="AE34" s="137"/>
      <c r="AF34" s="137"/>
      <c r="AG34" s="137"/>
      <c r="AH34" s="9">
        <f t="shared" si="87"/>
        <v>4375035</v>
      </c>
      <c r="AI34" s="9">
        <f t="shared" si="88"/>
        <v>476000</v>
      </c>
      <c r="AJ34" s="9">
        <f t="shared" si="89"/>
        <v>1944460</v>
      </c>
      <c r="AK34" s="144"/>
      <c r="AL34" s="142" t="s">
        <v>85</v>
      </c>
      <c r="AM34" s="94" t="s">
        <v>86</v>
      </c>
      <c r="AN34" s="95" t="s">
        <v>85</v>
      </c>
      <c r="AO34" s="95" t="s">
        <v>86</v>
      </c>
      <c r="AP34" s="95" t="s">
        <v>86</v>
      </c>
      <c r="AQ34" s="95" t="s">
        <v>86</v>
      </c>
      <c r="AR34" s="95" t="s">
        <v>86</v>
      </c>
      <c r="AS34" s="95" t="s">
        <v>86</v>
      </c>
      <c r="AT34" s="81"/>
      <c r="AU34" s="89">
        <f t="shared" si="90"/>
        <v>476000</v>
      </c>
      <c r="AV34" s="89">
        <f t="shared" si="91"/>
        <v>4375035</v>
      </c>
      <c r="AW34" s="89">
        <f t="shared" si="34"/>
        <v>3899035</v>
      </c>
      <c r="AX34" s="46">
        <f t="shared" si="92"/>
        <v>-5372552.5</v>
      </c>
      <c r="AY34" s="46">
        <f t="shared" si="93"/>
        <v>10223587.5</v>
      </c>
      <c r="AZ34" s="81"/>
      <c r="BA34" s="81"/>
      <c r="BB34" s="46">
        <f t="shared" si="74"/>
        <v>2265165</v>
      </c>
      <c r="BC34" s="46">
        <f t="shared" si="75"/>
        <v>1607846.8533155348</v>
      </c>
      <c r="BD34" s="85">
        <f t="shared" si="37"/>
        <v>0.70981445206664184</v>
      </c>
      <c r="BE34" s="89"/>
      <c r="BF34" s="89"/>
      <c r="BG34" s="81"/>
      <c r="BH34" s="86"/>
      <c r="BI34" s="86"/>
      <c r="BJ34" s="81"/>
      <c r="BK34" s="96">
        <f>GEOMEAN(AH34:AK34)</f>
        <v>1593905.2434930669</v>
      </c>
      <c r="BL34" s="96">
        <f t="shared" si="76"/>
        <v>1742343.5839186292</v>
      </c>
      <c r="BM34" s="102">
        <f t="shared" si="39"/>
        <v>1.0931287107759666</v>
      </c>
      <c r="BN34" s="97">
        <f t="shared" si="77"/>
        <v>0</v>
      </c>
      <c r="BO34" s="97">
        <f t="shared" si="78"/>
        <v>0</v>
      </c>
      <c r="BP34" s="81"/>
      <c r="BQ34" s="86"/>
      <c r="BR34" s="85"/>
      <c r="BS34" s="81"/>
      <c r="BT34" s="81"/>
      <c r="BU34" s="81"/>
      <c r="BV34" s="81"/>
      <c r="BW34" s="81"/>
      <c r="BX34" s="81"/>
      <c r="BY34" s="81"/>
      <c r="BZ34" s="81"/>
      <c r="CA34" s="81"/>
      <c r="CB34" s="81"/>
      <c r="CC34" s="81"/>
      <c r="CD34" s="81"/>
      <c r="CE34" s="81"/>
      <c r="CF34" s="81"/>
      <c r="CG34" s="81"/>
      <c r="CH34" s="81"/>
    </row>
    <row r="35" spans="1:86" customFormat="1" ht="24.75" customHeight="1" x14ac:dyDescent="0.2">
      <c r="A35" s="68">
        <v>5</v>
      </c>
      <c r="B35" s="345" t="s">
        <v>70</v>
      </c>
      <c r="C35" s="346"/>
      <c r="D35" s="346"/>
      <c r="E35" s="347"/>
      <c r="F35" s="125">
        <v>7585200</v>
      </c>
      <c r="G35" s="126">
        <f t="shared" si="79"/>
        <v>1441188</v>
      </c>
      <c r="H35" s="126">
        <f t="shared" si="80"/>
        <v>9026388</v>
      </c>
      <c r="I35" s="126">
        <v>2400000</v>
      </c>
      <c r="J35" s="128">
        <f t="shared" si="81"/>
        <v>456000</v>
      </c>
      <c r="K35" s="128">
        <f t="shared" si="82"/>
        <v>2856000</v>
      </c>
      <c r="L35" s="129">
        <v>3371200</v>
      </c>
      <c r="M35" s="129">
        <f t="shared" si="83"/>
        <v>640528</v>
      </c>
      <c r="N35" s="129">
        <f t="shared" si="84"/>
        <v>4011728</v>
      </c>
      <c r="O35" s="348" t="s">
        <v>106</v>
      </c>
      <c r="P35" s="348"/>
      <c r="Q35" s="352">
        <f t="shared" si="85"/>
        <v>5298038.666666667</v>
      </c>
      <c r="R35" s="352"/>
      <c r="S35" s="320">
        <f t="shared" si="86"/>
        <v>4693907.8589198515</v>
      </c>
      <c r="T35" s="320"/>
      <c r="U35" s="136"/>
      <c r="V35" s="137"/>
      <c r="W35" s="137"/>
      <c r="X35" s="138"/>
      <c r="Y35" s="137"/>
      <c r="Z35" s="139"/>
      <c r="AA35" s="140"/>
      <c r="AB35" s="140"/>
      <c r="AC35" s="137"/>
      <c r="AD35" s="137"/>
      <c r="AE35" s="137"/>
      <c r="AF35" s="137"/>
      <c r="AG35" s="137"/>
      <c r="AH35" s="9">
        <f t="shared" si="87"/>
        <v>9026388</v>
      </c>
      <c r="AI35" s="9">
        <f t="shared" si="88"/>
        <v>2856000</v>
      </c>
      <c r="AJ35" s="9">
        <f t="shared" si="89"/>
        <v>4011728</v>
      </c>
      <c r="AK35" s="144"/>
      <c r="AL35" s="142" t="s">
        <v>85</v>
      </c>
      <c r="AM35" s="94" t="s">
        <v>86</v>
      </c>
      <c r="AN35" s="95" t="s">
        <v>85</v>
      </c>
      <c r="AO35" s="95" t="s">
        <v>86</v>
      </c>
      <c r="AP35" s="95" t="s">
        <v>86</v>
      </c>
      <c r="AQ35" s="95" t="s">
        <v>86</v>
      </c>
      <c r="AR35" s="95" t="s">
        <v>86</v>
      </c>
      <c r="AS35" s="95" t="s">
        <v>86</v>
      </c>
      <c r="AT35" s="81"/>
      <c r="AU35" s="89">
        <f t="shared" si="90"/>
        <v>2856000</v>
      </c>
      <c r="AV35" s="89">
        <f t="shared" si="91"/>
        <v>9026388</v>
      </c>
      <c r="AW35" s="89">
        <f t="shared" si="34"/>
        <v>6170388</v>
      </c>
      <c r="AX35" s="46">
        <f t="shared" si="92"/>
        <v>-6399582</v>
      </c>
      <c r="AY35" s="46">
        <f t="shared" si="93"/>
        <v>18281970</v>
      </c>
      <c r="AZ35" s="81"/>
      <c r="BA35" s="81"/>
      <c r="BB35" s="46">
        <f t="shared" si="74"/>
        <v>5298038.666666667</v>
      </c>
      <c r="BC35" s="46">
        <f t="shared" si="75"/>
        <v>2678229.3113201158</v>
      </c>
      <c r="BD35" s="85">
        <f t="shared" si="37"/>
        <v>0.50551335689008103</v>
      </c>
      <c r="BE35" s="89"/>
      <c r="BF35" s="89"/>
      <c r="BG35" s="81"/>
      <c r="BH35" s="86"/>
      <c r="BI35" s="86"/>
      <c r="BJ35" s="81"/>
      <c r="BK35" s="96">
        <f>GEOMEAN(AH35:AK35)</f>
        <v>4693907.8589198515</v>
      </c>
      <c r="BL35" s="96">
        <f t="shared" si="76"/>
        <v>2745521.1302925791</v>
      </c>
      <c r="BM35" s="102">
        <f t="shared" si="39"/>
        <v>0.58491159452038555</v>
      </c>
      <c r="BN35" s="97">
        <f t="shared" si="77"/>
        <v>0</v>
      </c>
      <c r="BO35" s="97">
        <f t="shared" si="78"/>
        <v>0</v>
      </c>
      <c r="BP35" s="81"/>
      <c r="BQ35" s="86"/>
      <c r="BR35" s="85"/>
      <c r="BS35" s="81"/>
      <c r="BT35" s="81"/>
      <c r="BU35" s="81"/>
      <c r="BV35" s="81"/>
      <c r="BW35" s="81"/>
      <c r="BX35" s="81"/>
      <c r="BY35" s="81"/>
      <c r="BZ35" s="81"/>
      <c r="CA35" s="81"/>
      <c r="CB35" s="81"/>
      <c r="CC35" s="81"/>
      <c r="CD35" s="81"/>
      <c r="CE35" s="81"/>
      <c r="CF35" s="81"/>
      <c r="CG35" s="81"/>
      <c r="CH35" s="81"/>
    </row>
    <row r="36" spans="1:86" customFormat="1" ht="24.75" customHeight="1" x14ac:dyDescent="0.2">
      <c r="A36" s="68">
        <v>6</v>
      </c>
      <c r="B36" s="345" t="s">
        <v>71</v>
      </c>
      <c r="C36" s="346"/>
      <c r="D36" s="346"/>
      <c r="E36" s="347"/>
      <c r="F36" s="125">
        <v>2051100</v>
      </c>
      <c r="G36" s="126">
        <f t="shared" si="79"/>
        <v>389709</v>
      </c>
      <c r="H36" s="126">
        <f t="shared" si="80"/>
        <v>2440809</v>
      </c>
      <c r="I36" s="126">
        <v>5200000</v>
      </c>
      <c r="J36" s="128">
        <f t="shared" si="81"/>
        <v>988000</v>
      </c>
      <c r="K36" s="128">
        <f t="shared" si="82"/>
        <v>6188000</v>
      </c>
      <c r="L36" s="129">
        <v>911600</v>
      </c>
      <c r="M36" s="129">
        <f t="shared" si="83"/>
        <v>173204</v>
      </c>
      <c r="N36" s="129">
        <f t="shared" si="84"/>
        <v>1084804</v>
      </c>
      <c r="O36" s="348" t="s">
        <v>106</v>
      </c>
      <c r="P36" s="348"/>
      <c r="Q36" s="352">
        <f t="shared" si="85"/>
        <v>3237871</v>
      </c>
      <c r="R36" s="352"/>
      <c r="S36" s="320">
        <f t="shared" si="86"/>
        <v>2539871.7813790464</v>
      </c>
      <c r="T36" s="320"/>
      <c r="U36" s="136"/>
      <c r="V36" s="137"/>
      <c r="W36" s="137"/>
      <c r="X36" s="138"/>
      <c r="Y36" s="137"/>
      <c r="Z36" s="139"/>
      <c r="AA36" s="140"/>
      <c r="AB36" s="140"/>
      <c r="AC36" s="137"/>
      <c r="AD36" s="137"/>
      <c r="AE36" s="137"/>
      <c r="AF36" s="137"/>
      <c r="AG36" s="137"/>
      <c r="AH36" s="9">
        <f t="shared" si="87"/>
        <v>2440809</v>
      </c>
      <c r="AI36" s="9">
        <f t="shared" si="88"/>
        <v>6188000</v>
      </c>
      <c r="AJ36" s="9">
        <f t="shared" si="89"/>
        <v>1084804</v>
      </c>
      <c r="AK36" s="144"/>
      <c r="AL36" s="142" t="s">
        <v>85</v>
      </c>
      <c r="AM36" s="94" t="s">
        <v>86</v>
      </c>
      <c r="AN36" s="95" t="s">
        <v>85</v>
      </c>
      <c r="AO36" s="95" t="s">
        <v>86</v>
      </c>
      <c r="AP36" s="95" t="s">
        <v>86</v>
      </c>
      <c r="AQ36" s="95" t="s">
        <v>86</v>
      </c>
      <c r="AR36" s="95" t="s">
        <v>86</v>
      </c>
      <c r="AS36" s="95" t="s">
        <v>86</v>
      </c>
      <c r="AT36" s="81"/>
      <c r="AU36" s="89">
        <f t="shared" si="90"/>
        <v>1084804</v>
      </c>
      <c r="AV36" s="89">
        <f t="shared" si="91"/>
        <v>6188000</v>
      </c>
      <c r="AW36" s="89">
        <f t="shared" si="34"/>
        <v>5103196</v>
      </c>
      <c r="AX36" s="46">
        <f t="shared" si="92"/>
        <v>-6569990</v>
      </c>
      <c r="AY36" s="46">
        <f t="shared" si="93"/>
        <v>13842794</v>
      </c>
      <c r="AZ36" s="81"/>
      <c r="BA36" s="81"/>
      <c r="BB36" s="46">
        <f t="shared" si="74"/>
        <v>3237871</v>
      </c>
      <c r="BC36" s="46">
        <f t="shared" si="75"/>
        <v>2158260.6001881855</v>
      </c>
      <c r="BD36" s="85">
        <f t="shared" si="37"/>
        <v>0.66656781576171054</v>
      </c>
      <c r="BE36" s="89"/>
      <c r="BF36" s="89"/>
      <c r="BG36" s="81"/>
      <c r="BH36" s="86"/>
      <c r="BI36" s="86"/>
      <c r="BJ36" s="81"/>
      <c r="BK36" s="96">
        <f>GEOMEAN(AH36:AK36)</f>
        <v>2539871.7813790464</v>
      </c>
      <c r="BL36" s="96">
        <f t="shared" si="76"/>
        <v>2268323.5500078308</v>
      </c>
      <c r="BM36" s="102">
        <f t="shared" si="39"/>
        <v>0.89308585048975342</v>
      </c>
      <c r="BN36" s="97">
        <f t="shared" si="77"/>
        <v>0</v>
      </c>
      <c r="BO36" s="97">
        <f t="shared" si="78"/>
        <v>0</v>
      </c>
      <c r="BP36" s="81"/>
      <c r="BQ36" s="86"/>
      <c r="BR36" s="85"/>
      <c r="BS36" s="81"/>
      <c r="BT36" s="81"/>
      <c r="BU36" s="81"/>
      <c r="BV36" s="81"/>
      <c r="BW36" s="81"/>
      <c r="BX36" s="81"/>
      <c r="BY36" s="81"/>
      <c r="BZ36" s="81"/>
      <c r="CA36" s="81"/>
      <c r="CB36" s="81"/>
      <c r="CC36" s="81"/>
      <c r="CD36" s="81"/>
      <c r="CE36" s="81"/>
      <c r="CF36" s="81"/>
      <c r="CG36" s="81"/>
      <c r="CH36" s="81"/>
    </row>
    <row r="37" spans="1:86" customFormat="1" ht="24.75" customHeight="1" x14ac:dyDescent="0.2">
      <c r="A37" s="68">
        <v>7</v>
      </c>
      <c r="B37" s="345" t="s">
        <v>72</v>
      </c>
      <c r="C37" s="346"/>
      <c r="D37" s="346"/>
      <c r="E37" s="347"/>
      <c r="F37" s="127">
        <v>2205900</v>
      </c>
      <c r="G37" s="126">
        <f t="shared" si="79"/>
        <v>419121</v>
      </c>
      <c r="H37" s="126">
        <f t="shared" si="80"/>
        <v>2625021</v>
      </c>
      <c r="I37" s="126">
        <v>160000</v>
      </c>
      <c r="J37" s="128">
        <f t="shared" si="81"/>
        <v>30400</v>
      </c>
      <c r="K37" s="128">
        <f t="shared" si="82"/>
        <v>190400</v>
      </c>
      <c r="L37" s="129">
        <v>602000</v>
      </c>
      <c r="M37" s="129">
        <f t="shared" si="83"/>
        <v>114380</v>
      </c>
      <c r="N37" s="129">
        <f t="shared" ref="N37" si="94">+M37+L37</f>
        <v>716380</v>
      </c>
      <c r="O37" s="348" t="s">
        <v>106</v>
      </c>
      <c r="P37" s="348"/>
      <c r="Q37" s="352">
        <f t="shared" si="85"/>
        <v>1177267</v>
      </c>
      <c r="R37" s="352"/>
      <c r="S37" s="320">
        <f t="shared" si="86"/>
        <v>710091.62896900345</v>
      </c>
      <c r="T37" s="320"/>
      <c r="U37" s="136"/>
      <c r="V37" s="137"/>
      <c r="W37" s="137"/>
      <c r="X37" s="138"/>
      <c r="Y37" s="137"/>
      <c r="Z37" s="139"/>
      <c r="AA37" s="140"/>
      <c r="AB37" s="140"/>
      <c r="AC37" s="137"/>
      <c r="AD37" s="137"/>
      <c r="AE37" s="137"/>
      <c r="AF37" s="137"/>
      <c r="AG37" s="137"/>
      <c r="AH37" s="9">
        <f t="shared" si="87"/>
        <v>2625021</v>
      </c>
      <c r="AI37" s="9">
        <f t="shared" si="88"/>
        <v>190400</v>
      </c>
      <c r="AJ37" s="9">
        <f t="shared" si="89"/>
        <v>716380</v>
      </c>
      <c r="AK37" s="144"/>
      <c r="AL37" s="142" t="s">
        <v>85</v>
      </c>
      <c r="AM37" s="94" t="s">
        <v>86</v>
      </c>
      <c r="AN37" s="95" t="s">
        <v>85</v>
      </c>
      <c r="AO37" s="95" t="s">
        <v>86</v>
      </c>
      <c r="AP37" s="95" t="s">
        <v>86</v>
      </c>
      <c r="AQ37" s="95" t="s">
        <v>86</v>
      </c>
      <c r="AR37" s="95" t="s">
        <v>86</v>
      </c>
      <c r="AS37" s="95" t="s">
        <v>86</v>
      </c>
      <c r="AT37" s="81"/>
      <c r="AU37" s="89">
        <f t="shared" si="90"/>
        <v>190400</v>
      </c>
      <c r="AV37" s="89">
        <f t="shared" si="91"/>
        <v>2625021</v>
      </c>
      <c r="AW37" s="89">
        <f t="shared" si="34"/>
        <v>2434621</v>
      </c>
      <c r="AX37" s="46">
        <f t="shared" si="92"/>
        <v>-3461531.5</v>
      </c>
      <c r="AY37" s="46">
        <f t="shared" si="93"/>
        <v>6276952.5</v>
      </c>
      <c r="AZ37" s="81"/>
      <c r="BA37" s="81"/>
      <c r="BB37" s="46">
        <f t="shared" si="74"/>
        <v>1177267</v>
      </c>
      <c r="BC37" s="46">
        <f t="shared" si="75"/>
        <v>1045994.7334115342</v>
      </c>
      <c r="BD37" s="85">
        <f t="shared" si="37"/>
        <v>0.88849405734768261</v>
      </c>
      <c r="BE37" s="89"/>
      <c r="BF37" s="89"/>
      <c r="BG37" s="81"/>
      <c r="BH37" s="86"/>
      <c r="BI37" s="86"/>
      <c r="BJ37" s="81"/>
      <c r="BK37" s="96">
        <f>GEOMEAN(AH37:AK37)</f>
        <v>710091.62896900345</v>
      </c>
      <c r="BL37" s="96">
        <f t="shared" si="76"/>
        <v>1145581.8650897963</v>
      </c>
      <c r="BM37" s="102">
        <f t="shared" si="39"/>
        <v>1.6132873820144733</v>
      </c>
      <c r="BN37" s="97">
        <f t="shared" si="77"/>
        <v>0</v>
      </c>
      <c r="BO37" s="97">
        <f t="shared" si="78"/>
        <v>0</v>
      </c>
      <c r="BP37" s="81"/>
      <c r="BQ37" s="86"/>
      <c r="BR37" s="85"/>
      <c r="BS37" s="81"/>
      <c r="BT37" s="81"/>
      <c r="BU37" s="81"/>
      <c r="BV37" s="81"/>
      <c r="BW37" s="81"/>
      <c r="BX37" s="81"/>
      <c r="BY37" s="81"/>
      <c r="BZ37" s="81"/>
      <c r="CA37" s="81"/>
      <c r="CB37" s="81"/>
      <c r="CC37" s="81"/>
      <c r="CD37" s="81"/>
      <c r="CE37" s="81"/>
      <c r="CF37" s="81"/>
      <c r="CG37" s="81"/>
      <c r="CH37" s="81"/>
    </row>
    <row r="38" spans="1:86" customFormat="1" ht="24.75" customHeight="1" x14ac:dyDescent="0.2">
      <c r="A38" s="179"/>
      <c r="B38" s="69"/>
      <c r="C38" s="69"/>
      <c r="D38" s="69"/>
      <c r="E38" s="69"/>
      <c r="F38" s="180"/>
      <c r="G38" s="181"/>
      <c r="H38" s="181"/>
      <c r="I38" s="181"/>
      <c r="J38" s="130"/>
      <c r="K38" s="130"/>
      <c r="L38" s="183"/>
      <c r="M38" s="183"/>
      <c r="N38" s="183"/>
      <c r="O38" s="184"/>
      <c r="P38" s="184"/>
      <c r="Q38" s="185"/>
      <c r="R38" s="185"/>
      <c r="S38" s="198"/>
      <c r="T38" s="198"/>
      <c r="U38" s="139"/>
      <c r="V38" s="137"/>
      <c r="W38" s="137"/>
      <c r="X38" s="138"/>
      <c r="Y38" s="137"/>
      <c r="Z38" s="139"/>
      <c r="AA38" s="140"/>
      <c r="AB38" s="140"/>
      <c r="AC38" s="137"/>
      <c r="AD38" s="137"/>
      <c r="AE38" s="137"/>
      <c r="AF38" s="137"/>
      <c r="AG38" s="137"/>
      <c r="AH38" s="145"/>
      <c r="AI38" s="145"/>
      <c r="AJ38" s="145"/>
      <c r="AK38" s="146"/>
      <c r="AL38" s="147"/>
      <c r="AM38" s="147"/>
      <c r="AN38" s="148"/>
      <c r="AO38" s="148"/>
      <c r="AP38" s="148"/>
      <c r="AQ38" s="148"/>
      <c r="AR38" s="148"/>
      <c r="AS38" s="148"/>
      <c r="AT38" s="81"/>
      <c r="AU38" s="150"/>
      <c r="AV38" s="150"/>
      <c r="AW38" s="150"/>
      <c r="AX38" s="151"/>
      <c r="AY38" s="151"/>
      <c r="AZ38" s="81"/>
      <c r="BA38" s="81"/>
      <c r="BB38" s="151"/>
      <c r="BC38" s="151"/>
      <c r="BD38" s="152"/>
      <c r="BE38" s="150"/>
      <c r="BF38" s="150"/>
      <c r="BG38" s="81"/>
      <c r="BH38" s="182"/>
      <c r="BI38" s="182"/>
      <c r="BJ38" s="81"/>
      <c r="BK38" s="155"/>
      <c r="BL38" s="155"/>
      <c r="BM38" s="156"/>
      <c r="BN38" s="157"/>
      <c r="BO38" s="157"/>
      <c r="BP38" s="81"/>
      <c r="BQ38" s="182"/>
      <c r="BR38" s="152"/>
      <c r="BS38" s="81"/>
      <c r="BT38" s="81"/>
      <c r="BU38" s="81"/>
      <c r="BV38" s="81"/>
      <c r="BW38" s="81"/>
      <c r="BX38" s="81"/>
      <c r="BY38" s="81"/>
      <c r="BZ38" s="81"/>
      <c r="CA38" s="81"/>
      <c r="CB38" s="81"/>
      <c r="CC38" s="81"/>
      <c r="CD38" s="81"/>
      <c r="CE38" s="81"/>
      <c r="CF38" s="81"/>
      <c r="CG38" s="81"/>
      <c r="CH38" s="81"/>
    </row>
    <row r="39" spans="1:86" s="186" customFormat="1" ht="24.75" customHeight="1" x14ac:dyDescent="0.2">
      <c r="A39" s="360" t="s">
        <v>108</v>
      </c>
      <c r="B39" s="360"/>
      <c r="C39" s="360"/>
      <c r="D39" s="360"/>
      <c r="E39" s="360"/>
      <c r="F39" s="360"/>
      <c r="G39" s="360"/>
      <c r="H39" s="360"/>
      <c r="I39" s="360"/>
      <c r="J39" s="360"/>
      <c r="K39" s="360"/>
      <c r="L39" s="360"/>
      <c r="M39" s="360"/>
      <c r="N39" s="360"/>
      <c r="O39" s="360"/>
      <c r="P39" s="360"/>
      <c r="Q39" s="360"/>
      <c r="R39" s="360"/>
      <c r="S39" s="199"/>
      <c r="T39" s="196"/>
      <c r="U39" s="196"/>
      <c r="V39" s="196"/>
      <c r="W39" s="137"/>
      <c r="X39" s="138"/>
      <c r="Y39" s="137"/>
      <c r="Z39" s="139"/>
      <c r="AA39" s="140"/>
      <c r="AB39" s="140"/>
      <c r="AC39" s="137"/>
      <c r="AD39" s="137"/>
      <c r="AE39" s="137"/>
      <c r="AF39" s="137"/>
      <c r="AG39" s="137"/>
      <c r="AH39" s="145"/>
      <c r="AI39" s="145"/>
      <c r="AJ39" s="145"/>
      <c r="AK39" s="146"/>
      <c r="AL39" s="147"/>
      <c r="AM39" s="147"/>
      <c r="AN39" s="148"/>
      <c r="AO39" s="148"/>
      <c r="AP39" s="148"/>
      <c r="AQ39" s="148"/>
      <c r="AR39" s="148"/>
      <c r="AS39" s="148"/>
      <c r="AT39" s="158"/>
      <c r="AU39" s="150"/>
      <c r="AV39" s="150"/>
      <c r="AW39" s="150"/>
      <c r="AX39" s="151"/>
      <c r="AY39" s="151"/>
      <c r="AZ39" s="158"/>
      <c r="BA39" s="158"/>
      <c r="BB39" s="151"/>
      <c r="BC39" s="151"/>
      <c r="BD39" s="152"/>
      <c r="BE39" s="150"/>
      <c r="BF39" s="150"/>
      <c r="BG39" s="158"/>
      <c r="BH39" s="182"/>
      <c r="BI39" s="182"/>
      <c r="BJ39" s="158"/>
      <c r="BK39" s="155"/>
      <c r="BL39" s="155"/>
      <c r="BM39" s="156"/>
      <c r="BN39" s="157"/>
      <c r="BO39" s="157"/>
      <c r="BP39" s="158"/>
      <c r="BQ39" s="182"/>
      <c r="BR39" s="152"/>
      <c r="BS39" s="158"/>
      <c r="BT39" s="158"/>
      <c r="BU39" s="158"/>
      <c r="BV39" s="158"/>
      <c r="BW39" s="158"/>
      <c r="BX39" s="158"/>
      <c r="BY39" s="158"/>
      <c r="BZ39" s="158"/>
      <c r="CA39" s="158"/>
      <c r="CB39" s="158"/>
      <c r="CC39" s="158"/>
      <c r="CD39" s="158"/>
      <c r="CE39" s="158"/>
      <c r="CF39" s="158"/>
      <c r="CG39" s="158"/>
      <c r="CH39" s="158"/>
    </row>
    <row r="40" spans="1:86" s="195" customFormat="1" ht="24.75" customHeight="1" x14ac:dyDescent="0.2">
      <c r="A40" s="196"/>
      <c r="B40" s="196"/>
      <c r="C40" s="196"/>
      <c r="D40" s="196"/>
      <c r="E40" s="196"/>
      <c r="F40" s="196"/>
      <c r="G40" s="189"/>
      <c r="H40" s="189"/>
      <c r="I40" s="189"/>
      <c r="J40" s="189"/>
      <c r="K40" s="189"/>
      <c r="L40" s="189"/>
      <c r="M40" s="189"/>
      <c r="N40" s="189"/>
      <c r="O40" s="197"/>
      <c r="P40" s="197"/>
      <c r="Q40" s="197"/>
      <c r="R40" s="197"/>
      <c r="S40" s="196"/>
      <c r="T40" s="196"/>
      <c r="U40" s="196"/>
      <c r="V40" s="196"/>
      <c r="W40" s="137"/>
      <c r="X40" s="138"/>
      <c r="Y40" s="137"/>
      <c r="Z40" s="139"/>
      <c r="AA40" s="140"/>
      <c r="AB40" s="140"/>
      <c r="AC40" s="137"/>
      <c r="AD40" s="137"/>
      <c r="AE40" s="137"/>
      <c r="AF40" s="137"/>
      <c r="AG40" s="137"/>
      <c r="AH40" s="192"/>
      <c r="AI40" s="192"/>
      <c r="AJ40" s="192"/>
      <c r="AK40" s="193"/>
      <c r="AL40" s="147"/>
      <c r="AM40" s="147"/>
      <c r="AN40" s="148"/>
      <c r="AO40" s="148"/>
      <c r="AP40" s="148"/>
      <c r="AQ40" s="148"/>
      <c r="AR40" s="148"/>
      <c r="AS40" s="148"/>
      <c r="AT40" s="149"/>
      <c r="AU40" s="162"/>
      <c r="AV40" s="162"/>
      <c r="AW40" s="162"/>
      <c r="AX40" s="163"/>
      <c r="AY40" s="163"/>
      <c r="AZ40" s="149"/>
      <c r="BA40" s="149"/>
      <c r="BB40" s="163"/>
      <c r="BC40" s="163"/>
      <c r="BD40" s="164"/>
      <c r="BE40" s="162"/>
      <c r="BF40" s="162"/>
      <c r="BG40" s="149"/>
      <c r="BH40" s="154"/>
      <c r="BI40" s="154"/>
      <c r="BJ40" s="149"/>
      <c r="BK40" s="148"/>
      <c r="BL40" s="148"/>
      <c r="BM40" s="166"/>
      <c r="BN40" s="157"/>
      <c r="BO40" s="157"/>
      <c r="BP40" s="149"/>
      <c r="BQ40" s="154"/>
      <c r="BR40" s="164"/>
      <c r="BS40" s="149"/>
      <c r="BT40" s="149"/>
      <c r="BU40" s="149"/>
      <c r="BV40" s="149"/>
      <c r="BW40" s="149"/>
      <c r="BX40" s="149"/>
      <c r="BY40" s="149"/>
      <c r="BZ40" s="149"/>
      <c r="CA40" s="149"/>
      <c r="CB40" s="149"/>
      <c r="CC40" s="149"/>
      <c r="CD40" s="149"/>
      <c r="CE40" s="149"/>
      <c r="CF40" s="149"/>
      <c r="CG40" s="149"/>
      <c r="CH40" s="149"/>
    </row>
    <row r="41" spans="1:86" customFormat="1" ht="43.5" customHeight="1" x14ac:dyDescent="0.2">
      <c r="A41" s="107"/>
      <c r="B41" s="107"/>
      <c r="C41" s="107"/>
      <c r="D41" s="107"/>
      <c r="E41" s="107"/>
      <c r="F41" s="107"/>
      <c r="G41" s="360" t="str">
        <f>+G9</f>
        <v xml:space="preserve">CONTRATO TT -85-2024
AJUSTADO IPC 2024 5,20% </v>
      </c>
      <c r="H41" s="360"/>
      <c r="I41" s="360" t="str">
        <f>+L9</f>
        <v xml:space="preserve">COTIZACIÓN 1:                               </v>
      </c>
      <c r="J41" s="360"/>
      <c r="K41" s="360" t="str">
        <f>+Q9</f>
        <v xml:space="preserve">COTIZACIÓN 2         </v>
      </c>
      <c r="L41" s="360"/>
      <c r="M41" s="364" t="str">
        <f>+V9</f>
        <v xml:space="preserve">COTIZACIÓN 3 </v>
      </c>
      <c r="N41" s="360"/>
      <c r="O41" s="365" t="s">
        <v>104</v>
      </c>
      <c r="P41" s="365"/>
      <c r="Q41" s="365" t="s">
        <v>104</v>
      </c>
      <c r="R41" s="365"/>
      <c r="S41" s="1"/>
      <c r="T41" s="1"/>
      <c r="U41" s="1"/>
      <c r="V41" s="1"/>
      <c r="W41" s="137"/>
      <c r="X41" s="138"/>
      <c r="Y41" s="137"/>
      <c r="Z41" s="139"/>
      <c r="AA41" s="140"/>
      <c r="AB41" s="140"/>
      <c r="AC41" s="137"/>
      <c r="AD41" s="137"/>
      <c r="AE41" s="137"/>
      <c r="AF41" s="137"/>
      <c r="AG41" s="137"/>
      <c r="AH41" s="145"/>
      <c r="AI41" s="145"/>
      <c r="AJ41" s="145"/>
      <c r="AK41" s="146"/>
      <c r="AL41" s="147"/>
      <c r="AM41" s="147"/>
      <c r="AN41" s="148"/>
      <c r="AO41" s="148"/>
      <c r="AP41" s="148"/>
      <c r="AQ41" s="148"/>
      <c r="AR41" s="148"/>
      <c r="AS41" s="148"/>
      <c r="AT41" s="81"/>
      <c r="AU41" s="150"/>
      <c r="AV41" s="150"/>
      <c r="AW41" s="150"/>
      <c r="AX41" s="151"/>
      <c r="AY41" s="151"/>
      <c r="AZ41" s="81"/>
      <c r="BA41" s="81"/>
      <c r="BB41" s="151"/>
      <c r="BC41" s="151"/>
      <c r="BD41" s="152"/>
      <c r="BE41" s="150"/>
      <c r="BF41" s="150"/>
      <c r="BG41" s="81"/>
      <c r="BH41" s="182"/>
      <c r="BI41" s="182"/>
      <c r="BJ41" s="81"/>
      <c r="BK41" s="155"/>
      <c r="BL41" s="155"/>
      <c r="BM41" s="156"/>
      <c r="BN41" s="157"/>
      <c r="BO41" s="157"/>
      <c r="BP41" s="81"/>
      <c r="BQ41" s="182"/>
      <c r="BR41" s="152"/>
      <c r="BS41" s="81"/>
      <c r="BT41" s="81"/>
      <c r="BU41" s="81"/>
      <c r="BV41" s="81"/>
      <c r="BW41" s="81"/>
      <c r="BX41" s="81"/>
      <c r="BY41" s="81"/>
      <c r="BZ41" s="81"/>
      <c r="CA41" s="81"/>
      <c r="CB41" s="81"/>
      <c r="CC41" s="81"/>
      <c r="CD41" s="81"/>
      <c r="CE41" s="81"/>
      <c r="CF41" s="81"/>
      <c r="CG41" s="81"/>
      <c r="CH41" s="81"/>
    </row>
    <row r="42" spans="1:86" customFormat="1" ht="43.5" customHeight="1" x14ac:dyDescent="0.2">
      <c r="A42" s="1"/>
      <c r="B42" s="196"/>
      <c r="C42" s="201"/>
      <c r="D42" s="361" t="s">
        <v>64</v>
      </c>
      <c r="E42" s="362"/>
      <c r="F42" s="363"/>
      <c r="G42" s="361" t="s">
        <v>109</v>
      </c>
      <c r="H42" s="363"/>
      <c r="I42" s="361" t="s">
        <v>109</v>
      </c>
      <c r="J42" s="363"/>
      <c r="K42" s="361" t="s">
        <v>109</v>
      </c>
      <c r="L42" s="363"/>
      <c r="M42" s="361" t="s">
        <v>109</v>
      </c>
      <c r="N42" s="363"/>
      <c r="O42" s="365"/>
      <c r="P42" s="365"/>
      <c r="Q42" s="365"/>
      <c r="R42" s="365"/>
      <c r="S42" s="1"/>
      <c r="T42" s="1"/>
      <c r="U42" s="1"/>
      <c r="V42" s="1"/>
      <c r="W42" s="137"/>
      <c r="X42" s="138"/>
      <c r="Y42" s="137"/>
      <c r="Z42" s="139"/>
      <c r="AA42" s="140"/>
      <c r="AB42" s="140"/>
      <c r="AC42" s="137"/>
      <c r="AD42" s="137"/>
      <c r="AE42" s="137"/>
      <c r="AF42" s="137"/>
      <c r="AG42" s="137"/>
      <c r="AH42" s="145"/>
      <c r="AI42" s="145"/>
      <c r="AJ42" s="145"/>
      <c r="AK42" s="146"/>
      <c r="AL42" s="147"/>
      <c r="AM42" s="147"/>
      <c r="AN42" s="148"/>
      <c r="AO42" s="148"/>
      <c r="AP42" s="148"/>
      <c r="AQ42" s="148"/>
      <c r="AR42" s="148"/>
      <c r="AS42" s="148"/>
      <c r="AT42" s="81"/>
      <c r="AU42" s="150"/>
      <c r="AV42" s="150"/>
      <c r="AW42" s="150"/>
      <c r="AX42" s="151"/>
      <c r="AY42" s="151"/>
      <c r="AZ42" s="81"/>
      <c r="BA42" s="81"/>
      <c r="BB42" s="151"/>
      <c r="BC42" s="151"/>
      <c r="BD42" s="152"/>
      <c r="BE42" s="150"/>
      <c r="BF42" s="150"/>
      <c r="BG42" s="81"/>
      <c r="BH42" s="182"/>
      <c r="BI42" s="182"/>
      <c r="BJ42" s="81"/>
      <c r="BK42" s="155"/>
      <c r="BL42" s="155"/>
      <c r="BM42" s="156"/>
      <c r="BN42" s="157"/>
      <c r="BO42" s="157"/>
      <c r="BP42" s="81"/>
      <c r="BQ42" s="182"/>
      <c r="BR42" s="152"/>
      <c r="BS42" s="81"/>
      <c r="BT42" s="81"/>
      <c r="BU42" s="81"/>
      <c r="BV42" s="81"/>
      <c r="BW42" s="81"/>
      <c r="BX42" s="81"/>
      <c r="BY42" s="81"/>
      <c r="BZ42" s="81"/>
      <c r="CA42" s="81"/>
      <c r="CB42" s="81"/>
      <c r="CC42" s="81"/>
      <c r="CD42" s="81"/>
      <c r="CE42" s="81"/>
      <c r="CF42" s="81"/>
      <c r="CG42" s="81"/>
      <c r="CH42" s="81"/>
    </row>
    <row r="43" spans="1:86" customFormat="1" ht="33.75" customHeight="1" x14ac:dyDescent="0.2">
      <c r="A43" s="1"/>
      <c r="B43" s="196"/>
      <c r="C43" s="201"/>
      <c r="D43" s="361" t="s">
        <v>113</v>
      </c>
      <c r="E43" s="362"/>
      <c r="F43" s="363"/>
      <c r="G43" s="358">
        <f>+K27</f>
        <v>117744947.46000001</v>
      </c>
      <c r="H43" s="359"/>
      <c r="I43" s="358">
        <f>+P27</f>
        <v>87537471</v>
      </c>
      <c r="J43" s="359">
        <f>SUM(J17:J36)</f>
        <v>76809911.879999995</v>
      </c>
      <c r="K43" s="358">
        <f>+U27</f>
        <v>48956352.479999989</v>
      </c>
      <c r="L43" s="359">
        <f>SUM(L17:L36)</f>
        <v>19473280</v>
      </c>
      <c r="M43" s="358">
        <f>+Z27</f>
        <v>40162500</v>
      </c>
      <c r="N43" s="359">
        <f>SUM(N17:N36)</f>
        <v>37254092.399999999</v>
      </c>
      <c r="O43" s="356">
        <f>+AF27</f>
        <v>62632857.323811963</v>
      </c>
      <c r="P43" s="356"/>
      <c r="Q43" s="357">
        <f>+AF27</f>
        <v>62632857.323811963</v>
      </c>
      <c r="R43" s="357"/>
      <c r="S43" s="1"/>
      <c r="T43" s="1"/>
      <c r="U43" s="188"/>
      <c r="V43" s="1"/>
      <c r="W43" s="137"/>
      <c r="X43" s="138"/>
      <c r="Y43" s="137"/>
      <c r="Z43" s="139"/>
      <c r="AA43" s="140"/>
      <c r="AB43" s="140"/>
      <c r="AC43" s="137"/>
      <c r="AD43" s="137"/>
      <c r="AE43" s="137"/>
      <c r="AF43" s="137"/>
      <c r="AG43" s="137"/>
      <c r="AH43" s="145"/>
      <c r="AI43" s="145"/>
      <c r="AJ43" s="145"/>
      <c r="AK43" s="146"/>
      <c r="AL43" s="147"/>
      <c r="AM43" s="147"/>
      <c r="AN43" s="148"/>
      <c r="AO43" s="148"/>
      <c r="AP43" s="148"/>
      <c r="AQ43" s="148"/>
      <c r="AR43" s="148"/>
      <c r="AS43" s="148"/>
      <c r="AT43" s="81"/>
      <c r="AU43" s="150"/>
      <c r="AV43" s="150"/>
      <c r="AW43" s="150"/>
      <c r="AX43" s="151"/>
      <c r="AY43" s="151"/>
      <c r="AZ43" s="81"/>
      <c r="BA43" s="81"/>
      <c r="BB43" s="151"/>
      <c r="BC43" s="151"/>
      <c r="BD43" s="152"/>
      <c r="BE43" s="150"/>
      <c r="BF43" s="150"/>
      <c r="BG43" s="81"/>
      <c r="BH43" s="182"/>
      <c r="BI43" s="182"/>
      <c r="BJ43" s="81"/>
      <c r="BK43" s="155"/>
      <c r="BL43" s="155"/>
      <c r="BM43" s="156"/>
      <c r="BN43" s="157"/>
      <c r="BO43" s="157"/>
      <c r="BP43" s="81"/>
      <c r="BQ43" s="182"/>
      <c r="BR43" s="152"/>
      <c r="BS43" s="81"/>
      <c r="BT43" s="81"/>
      <c r="BU43" s="81"/>
      <c r="BV43" s="81"/>
      <c r="BW43" s="81"/>
      <c r="BX43" s="81"/>
      <c r="BY43" s="81"/>
      <c r="BZ43" s="81"/>
      <c r="CA43" s="81"/>
      <c r="CB43" s="81"/>
      <c r="CC43" s="81"/>
      <c r="CD43" s="81"/>
      <c r="CE43" s="81"/>
      <c r="CF43" s="81"/>
      <c r="CG43" s="81"/>
      <c r="CH43" s="81"/>
    </row>
    <row r="44" spans="1:86" customFormat="1" ht="33.75" customHeight="1" x14ac:dyDescent="0.2">
      <c r="A44" s="1"/>
      <c r="B44" s="196"/>
      <c r="C44" s="201"/>
      <c r="D44" s="361" t="s">
        <v>110</v>
      </c>
      <c r="E44" s="362"/>
      <c r="F44" s="363"/>
      <c r="G44" s="358">
        <v>15000000</v>
      </c>
      <c r="H44" s="359"/>
      <c r="I44" s="358">
        <v>15000000</v>
      </c>
      <c r="J44" s="359"/>
      <c r="K44" s="358">
        <v>15000000</v>
      </c>
      <c r="L44" s="359"/>
      <c r="M44" s="358">
        <v>15000000</v>
      </c>
      <c r="N44" s="359"/>
      <c r="O44" s="358">
        <v>15000000</v>
      </c>
      <c r="P44" s="359"/>
      <c r="Q44" s="358">
        <v>15000000</v>
      </c>
      <c r="R44" s="359"/>
      <c r="S44" s="1"/>
      <c r="T44" s="1"/>
      <c r="U44" s="1"/>
      <c r="V44" s="1"/>
      <c r="W44" s="137"/>
      <c r="X44" s="138"/>
      <c r="Y44" s="137"/>
      <c r="Z44" s="139"/>
      <c r="AA44" s="140"/>
      <c r="AB44" s="140"/>
      <c r="AC44" s="137"/>
      <c r="AD44" s="137"/>
      <c r="AE44" s="137"/>
      <c r="AF44" s="137"/>
      <c r="AG44" s="137"/>
      <c r="AH44" s="145"/>
      <c r="AI44" s="145"/>
      <c r="AJ44" s="145"/>
      <c r="AK44" s="146"/>
      <c r="AL44" s="147"/>
      <c r="AM44" s="147"/>
      <c r="AN44" s="148"/>
      <c r="AO44" s="148"/>
      <c r="AP44" s="148"/>
      <c r="AQ44" s="148"/>
      <c r="AR44" s="148"/>
      <c r="AS44" s="148"/>
      <c r="AT44" s="81"/>
      <c r="AU44" s="150"/>
      <c r="AV44" s="150"/>
      <c r="AW44" s="150"/>
      <c r="AX44" s="151"/>
      <c r="AY44" s="151"/>
      <c r="AZ44" s="81"/>
      <c r="BA44" s="81"/>
      <c r="BB44" s="151"/>
      <c r="BC44" s="151"/>
      <c r="BD44" s="152"/>
      <c r="BE44" s="150"/>
      <c r="BF44" s="150"/>
      <c r="BG44" s="81"/>
      <c r="BH44" s="182"/>
      <c r="BI44" s="182"/>
      <c r="BJ44" s="81"/>
      <c r="BK44" s="155"/>
      <c r="BL44" s="155"/>
      <c r="BM44" s="156"/>
      <c r="BN44" s="157"/>
      <c r="BO44" s="157"/>
      <c r="BP44" s="81"/>
      <c r="BQ44" s="182"/>
      <c r="BR44" s="152"/>
      <c r="BS44" s="81"/>
      <c r="BT44" s="81"/>
      <c r="BU44" s="81"/>
      <c r="BV44" s="81"/>
      <c r="BW44" s="81"/>
      <c r="BX44" s="81"/>
      <c r="BY44" s="81"/>
      <c r="BZ44" s="81"/>
      <c r="CA44" s="81"/>
      <c r="CB44" s="81"/>
      <c r="CC44" s="81"/>
      <c r="CD44" s="81"/>
      <c r="CE44" s="81"/>
      <c r="CF44" s="81"/>
      <c r="CG44" s="81"/>
      <c r="CH44" s="81"/>
    </row>
    <row r="45" spans="1:86" customFormat="1" ht="33.75" customHeight="1" x14ac:dyDescent="0.2">
      <c r="A45" s="204"/>
      <c r="B45" s="202"/>
      <c r="C45" s="203"/>
      <c r="D45" s="349" t="s">
        <v>111</v>
      </c>
      <c r="E45" s="350"/>
      <c r="F45" s="351"/>
      <c r="G45" s="354">
        <f>+G43+G44</f>
        <v>132744947.46000001</v>
      </c>
      <c r="H45" s="355"/>
      <c r="I45" s="354">
        <f>+I43+I44</f>
        <v>102537471</v>
      </c>
      <c r="J45" s="355"/>
      <c r="K45" s="354">
        <f t="shared" ref="K45" si="95">+K43+K44</f>
        <v>63956352.479999989</v>
      </c>
      <c r="L45" s="355"/>
      <c r="M45" s="354">
        <f t="shared" ref="M45" si="96">+M43+M44</f>
        <v>55162500</v>
      </c>
      <c r="N45" s="355"/>
      <c r="O45" s="354">
        <f t="shared" ref="O45" si="97">+O43+O44</f>
        <v>77632857.323811963</v>
      </c>
      <c r="P45" s="355"/>
      <c r="Q45" s="354">
        <f>+Q43+Q44</f>
        <v>77632857.323811963</v>
      </c>
      <c r="R45" s="355"/>
      <c r="S45" s="1"/>
      <c r="T45" s="1"/>
      <c r="U45" s="1"/>
      <c r="V45" s="1"/>
      <c r="W45" s="137"/>
      <c r="X45" s="138"/>
      <c r="Y45" s="137"/>
      <c r="Z45" s="139"/>
      <c r="AA45" s="140"/>
      <c r="AB45" s="140"/>
      <c r="AC45" s="137"/>
      <c r="AD45" s="137"/>
      <c r="AE45" s="137"/>
      <c r="AF45" s="137"/>
      <c r="AG45" s="137"/>
      <c r="AH45" s="145"/>
      <c r="AI45" s="145"/>
      <c r="AJ45" s="145"/>
      <c r="AK45" s="146"/>
      <c r="AL45" s="147"/>
      <c r="AM45" s="147"/>
      <c r="AN45" s="148"/>
      <c r="AO45" s="148"/>
      <c r="AP45" s="148"/>
      <c r="AQ45" s="148"/>
      <c r="AR45" s="148"/>
      <c r="AS45" s="148"/>
      <c r="AT45" s="81"/>
      <c r="AU45" s="150"/>
      <c r="AV45" s="150"/>
      <c r="AW45" s="150"/>
      <c r="AX45" s="151"/>
      <c r="AY45" s="151"/>
      <c r="AZ45" s="81"/>
      <c r="BA45" s="81"/>
      <c r="BB45" s="151"/>
      <c r="BC45" s="151"/>
      <c r="BD45" s="152"/>
      <c r="BE45" s="150"/>
      <c r="BF45" s="150"/>
      <c r="BG45" s="81"/>
      <c r="BH45" s="182"/>
      <c r="BI45" s="182"/>
      <c r="BJ45" s="81"/>
      <c r="BK45" s="155"/>
      <c r="BL45" s="155"/>
      <c r="BM45" s="156"/>
      <c r="BN45" s="157"/>
      <c r="BO45" s="157"/>
      <c r="BP45" s="81"/>
      <c r="BQ45" s="182"/>
      <c r="BR45" s="152"/>
      <c r="BS45" s="81"/>
      <c r="BT45" s="81"/>
      <c r="BU45" s="81"/>
      <c r="BV45" s="81"/>
      <c r="BW45" s="81"/>
      <c r="BX45" s="81"/>
      <c r="BY45" s="81"/>
      <c r="BZ45" s="81"/>
      <c r="CA45" s="81"/>
      <c r="CB45" s="81"/>
      <c r="CC45" s="81"/>
      <c r="CD45" s="81"/>
      <c r="CE45" s="81"/>
      <c r="CF45" s="81"/>
      <c r="CG45" s="81"/>
      <c r="CH45" s="81"/>
    </row>
    <row r="46" spans="1:86" s="195" customFormat="1" ht="15" customHeight="1" x14ac:dyDescent="0.2">
      <c r="A46" s="200"/>
      <c r="B46" s="200"/>
      <c r="C46" s="200"/>
      <c r="D46" s="190"/>
      <c r="E46" s="190"/>
      <c r="F46" s="190"/>
      <c r="G46" s="191"/>
      <c r="H46" s="191"/>
      <c r="I46" s="191"/>
      <c r="J46" s="191"/>
      <c r="K46" s="191"/>
      <c r="L46" s="191"/>
      <c r="M46" s="191"/>
      <c r="N46" s="191"/>
      <c r="O46" s="191"/>
      <c r="P46" s="191"/>
      <c r="Q46" s="191"/>
      <c r="R46" s="191"/>
      <c r="S46" s="194"/>
      <c r="T46" s="194"/>
      <c r="U46" s="194"/>
      <c r="V46" s="194"/>
      <c r="W46" s="137"/>
      <c r="X46" s="138"/>
      <c r="Y46" s="137"/>
      <c r="Z46" s="139"/>
      <c r="AA46" s="140"/>
      <c r="AB46" s="140"/>
      <c r="AC46" s="137"/>
      <c r="AD46" s="137"/>
      <c r="AE46" s="137"/>
      <c r="AF46" s="137"/>
      <c r="AG46" s="137"/>
      <c r="AH46" s="192"/>
      <c r="AI46" s="192"/>
      <c r="AJ46" s="192"/>
      <c r="AK46" s="193"/>
      <c r="AL46" s="147"/>
      <c r="AM46" s="147"/>
      <c r="AN46" s="148"/>
      <c r="AO46" s="148"/>
      <c r="AP46" s="148"/>
      <c r="AQ46" s="148"/>
      <c r="AR46" s="148"/>
      <c r="AS46" s="148"/>
      <c r="AT46" s="149"/>
      <c r="AU46" s="162"/>
      <c r="AV46" s="162"/>
      <c r="AW46" s="162"/>
      <c r="AX46" s="163"/>
      <c r="AY46" s="163"/>
      <c r="AZ46" s="149"/>
      <c r="BA46" s="149"/>
      <c r="BB46" s="163"/>
      <c r="BC46" s="163"/>
      <c r="BD46" s="164"/>
      <c r="BE46" s="162"/>
      <c r="BF46" s="162"/>
      <c r="BG46" s="149"/>
      <c r="BH46" s="154"/>
      <c r="BI46" s="154"/>
      <c r="BJ46" s="149"/>
      <c r="BK46" s="148"/>
      <c r="BL46" s="148"/>
      <c r="BM46" s="166"/>
      <c r="BN46" s="157"/>
      <c r="BO46" s="157"/>
      <c r="BP46" s="149"/>
      <c r="BQ46" s="154"/>
      <c r="BR46" s="164"/>
      <c r="BS46" s="149"/>
      <c r="BT46" s="149"/>
      <c r="BU46" s="149"/>
      <c r="BV46" s="149"/>
      <c r="BW46" s="149"/>
      <c r="BX46" s="149"/>
      <c r="BY46" s="149"/>
      <c r="BZ46" s="149"/>
      <c r="CA46" s="149"/>
      <c r="CB46" s="149"/>
      <c r="CC46" s="149"/>
      <c r="CD46" s="149"/>
      <c r="CE46" s="149"/>
      <c r="CF46" s="149"/>
      <c r="CG46" s="149"/>
      <c r="CH46" s="149"/>
    </row>
    <row r="47" spans="1:86" s="52" customFormat="1" ht="24.75" customHeight="1" x14ac:dyDescent="0.2">
      <c r="A47" s="360" t="s">
        <v>112</v>
      </c>
      <c r="B47" s="360"/>
      <c r="C47" s="360"/>
      <c r="D47" s="360"/>
      <c r="E47" s="360"/>
      <c r="F47" s="360"/>
      <c r="G47" s="360"/>
      <c r="H47" s="360"/>
      <c r="I47" s="187">
        <v>12</v>
      </c>
      <c r="J47" s="366" t="s">
        <v>8</v>
      </c>
      <c r="K47" s="366"/>
      <c r="L47" s="366"/>
      <c r="M47" s="366"/>
      <c r="N47" s="367"/>
      <c r="O47" s="368">
        <f>+Q45</f>
        <v>77632857.323811963</v>
      </c>
      <c r="P47" s="369"/>
      <c r="Q47" s="369"/>
      <c r="R47" s="370"/>
      <c r="S47" s="205"/>
      <c r="T47" s="206"/>
      <c r="U47" s="353"/>
      <c r="V47" s="353"/>
      <c r="W47" s="137"/>
      <c r="X47" s="137"/>
      <c r="Y47" s="137"/>
      <c r="Z47" s="137"/>
      <c r="AA47" s="321"/>
      <c r="AB47" s="321"/>
      <c r="AC47" s="310"/>
      <c r="AD47" s="310"/>
      <c r="AE47" s="310"/>
      <c r="AF47" s="310"/>
      <c r="AG47" s="137"/>
      <c r="AH47" s="145"/>
      <c r="AI47" s="145"/>
      <c r="AJ47" s="145"/>
      <c r="AK47" s="146"/>
      <c r="AL47" s="147"/>
      <c r="AM47" s="147"/>
      <c r="AN47" s="148"/>
      <c r="AO47" s="148"/>
      <c r="AP47" s="148"/>
      <c r="AQ47" s="148"/>
      <c r="AR47" s="148"/>
      <c r="AS47" s="148"/>
      <c r="AT47" s="149"/>
      <c r="AU47" s="150"/>
      <c r="AV47" s="150"/>
      <c r="AW47" s="150"/>
      <c r="AX47" s="151"/>
      <c r="AY47" s="151"/>
      <c r="AZ47" s="149"/>
      <c r="BA47" s="149"/>
      <c r="BB47" s="151"/>
      <c r="BC47" s="151"/>
      <c r="BD47" s="152"/>
      <c r="BE47" s="153"/>
      <c r="BF47" s="154"/>
      <c r="BG47" s="149"/>
      <c r="BH47" s="154"/>
      <c r="BI47" s="154"/>
      <c r="BJ47" s="149"/>
      <c r="BK47" s="155"/>
      <c r="BL47" s="155"/>
      <c r="BM47" s="156"/>
      <c r="BN47" s="157"/>
      <c r="BO47" s="157"/>
      <c r="BP47" s="149"/>
      <c r="BQ47" s="154"/>
      <c r="BR47" s="152"/>
      <c r="BS47" s="82"/>
      <c r="BT47" s="82"/>
      <c r="BU47" s="82"/>
      <c r="BV47" s="82"/>
      <c r="BW47" s="82"/>
      <c r="BX47" s="82"/>
      <c r="BY47" s="82"/>
      <c r="BZ47" s="82"/>
      <c r="CA47" s="82"/>
      <c r="CB47" s="82"/>
      <c r="CC47" s="82"/>
      <c r="CD47" s="82"/>
      <c r="CE47" s="82"/>
      <c r="CF47" s="82"/>
      <c r="CG47" s="82"/>
      <c r="CH47" s="82"/>
    </row>
    <row r="48" spans="1:86" ht="9" customHeight="1" x14ac:dyDescent="0.2">
      <c r="A48" s="279"/>
      <c r="B48" s="279"/>
      <c r="C48" s="279"/>
      <c r="D48" s="279"/>
      <c r="E48" s="279"/>
      <c r="F48" s="279"/>
      <c r="G48" s="279"/>
      <c r="H48" s="279"/>
      <c r="I48" s="279"/>
      <c r="J48" s="279"/>
      <c r="K48" s="279"/>
      <c r="L48" s="279"/>
      <c r="M48" s="279"/>
      <c r="N48" s="279"/>
      <c r="O48" s="279"/>
      <c r="P48" s="279"/>
      <c r="Q48" s="279"/>
      <c r="R48" s="279"/>
      <c r="S48" s="279"/>
      <c r="T48" s="279"/>
      <c r="U48" s="279"/>
      <c r="V48" s="279"/>
      <c r="W48" s="279"/>
      <c r="X48" s="279"/>
      <c r="Y48" s="279"/>
      <c r="Z48" s="279"/>
      <c r="AA48" s="279"/>
      <c r="AB48" s="279"/>
      <c r="AC48" s="279"/>
      <c r="AD48" s="279"/>
      <c r="AE48" s="279"/>
      <c r="AF48" s="279"/>
      <c r="AG48" s="26"/>
      <c r="AH48" s="92"/>
      <c r="AI48" s="73"/>
      <c r="AJ48" s="73"/>
      <c r="AK48" s="73"/>
      <c r="AL48" s="73"/>
      <c r="AM48" s="73"/>
      <c r="AN48" s="73"/>
      <c r="AO48" s="73"/>
      <c r="AP48" s="73"/>
      <c r="AQ48" s="73"/>
      <c r="AR48" s="73"/>
      <c r="AS48" s="73"/>
      <c r="AT48" s="73"/>
      <c r="BM48" s="99"/>
      <c r="BN48" s="90"/>
      <c r="BO48" s="90"/>
    </row>
    <row r="49" spans="1:67" ht="44.25" hidden="1" customHeight="1" x14ac:dyDescent="0.2">
      <c r="A49" s="280" t="s">
        <v>60</v>
      </c>
      <c r="B49" s="280"/>
      <c r="C49" s="280"/>
      <c r="D49" s="280"/>
      <c r="E49" s="280"/>
      <c r="F49" s="280"/>
      <c r="G49" s="280"/>
      <c r="H49" s="280"/>
      <c r="I49" s="280"/>
      <c r="J49" s="280"/>
      <c r="K49" s="280"/>
      <c r="L49" s="280"/>
      <c r="M49" s="280"/>
      <c r="N49" s="280"/>
      <c r="O49" s="280"/>
      <c r="P49" s="280"/>
      <c r="Q49" s="280"/>
      <c r="R49" s="280"/>
      <c r="S49" s="280"/>
      <c r="T49" s="280"/>
      <c r="U49" s="280"/>
      <c r="V49" s="280"/>
      <c r="W49" s="280"/>
      <c r="X49" s="280"/>
      <c r="Y49" s="280"/>
      <c r="Z49" s="280"/>
      <c r="AA49" s="280"/>
      <c r="AB49" s="280"/>
      <c r="AC49" s="280"/>
      <c r="AD49" s="280"/>
      <c r="AE49" s="280"/>
      <c r="AF49" s="280"/>
      <c r="AG49" s="26"/>
      <c r="AH49" s="92"/>
      <c r="AI49" s="73"/>
      <c r="AJ49" s="73"/>
      <c r="AK49" s="73"/>
      <c r="AL49" s="73"/>
      <c r="AM49" s="73"/>
      <c r="AN49" s="73"/>
      <c r="AO49" s="73"/>
      <c r="AP49" s="73"/>
      <c r="AQ49" s="73"/>
      <c r="AR49" s="73"/>
      <c r="AS49" s="73"/>
      <c r="AT49" s="73"/>
      <c r="BM49" s="99"/>
      <c r="BN49" s="90"/>
      <c r="BO49" s="90"/>
    </row>
    <row r="50" spans="1:67" ht="129.75" hidden="1" customHeight="1" x14ac:dyDescent="0.2">
      <c r="A50" s="281" t="s">
        <v>58</v>
      </c>
      <c r="B50" s="282"/>
      <c r="C50" s="282"/>
      <c r="D50" s="282"/>
      <c r="E50" s="282"/>
      <c r="F50" s="282"/>
      <c r="G50" s="282"/>
      <c r="H50" s="282"/>
      <c r="I50" s="282"/>
      <c r="J50" s="282"/>
      <c r="K50" s="282"/>
      <c r="L50" s="282"/>
      <c r="M50" s="282"/>
      <c r="N50" s="282"/>
      <c r="O50" s="282"/>
      <c r="P50" s="282"/>
      <c r="Q50" s="282"/>
      <c r="R50" s="282"/>
      <c r="S50" s="282"/>
      <c r="T50" s="282"/>
      <c r="U50" s="282"/>
      <c r="V50" s="282"/>
      <c r="W50" s="282"/>
      <c r="X50" s="282"/>
      <c r="Y50" s="282"/>
      <c r="Z50" s="282"/>
      <c r="AA50" s="282"/>
      <c r="AB50" s="282"/>
      <c r="AC50" s="282"/>
      <c r="AD50" s="282"/>
      <c r="AE50" s="282"/>
      <c r="AF50" s="282"/>
      <c r="AG50" s="14"/>
      <c r="AH50" s="93"/>
      <c r="AI50" s="73"/>
      <c r="AJ50" s="73"/>
      <c r="AK50" s="73"/>
      <c r="AL50" s="73"/>
      <c r="AM50" s="73"/>
      <c r="AN50" s="73"/>
      <c r="AO50" s="73"/>
      <c r="AP50" s="73"/>
      <c r="AQ50" s="73"/>
      <c r="AR50" s="73"/>
      <c r="AS50" s="73"/>
      <c r="AT50" s="73"/>
      <c r="BM50" s="99"/>
      <c r="BN50" s="90"/>
      <c r="BO50" s="90"/>
    </row>
    <row r="51" spans="1:67" ht="42.75" hidden="1" customHeight="1" x14ac:dyDescent="0.2">
      <c r="A51" s="283" t="s">
        <v>59</v>
      </c>
      <c r="B51" s="283"/>
      <c r="C51" s="283"/>
      <c r="D51" s="283"/>
      <c r="E51" s="283"/>
      <c r="F51" s="283"/>
      <c r="G51" s="283"/>
      <c r="H51" s="283"/>
      <c r="I51" s="283"/>
      <c r="J51" s="283"/>
      <c r="K51" s="283"/>
      <c r="L51" s="283"/>
      <c r="M51" s="283"/>
      <c r="N51" s="283"/>
      <c r="O51" s="283"/>
      <c r="P51" s="283"/>
      <c r="Q51" s="283"/>
      <c r="R51" s="283"/>
      <c r="S51" s="283"/>
      <c r="T51" s="283"/>
      <c r="U51" s="283"/>
      <c r="V51" s="283"/>
      <c r="W51" s="283"/>
      <c r="X51" s="283"/>
      <c r="Y51" s="283"/>
      <c r="Z51" s="283"/>
      <c r="AA51" s="283"/>
      <c r="AB51" s="283"/>
      <c r="AC51" s="283"/>
      <c r="AD51" s="283"/>
      <c r="AE51" s="283"/>
      <c r="AF51" s="283"/>
      <c r="AG51" s="14"/>
      <c r="AH51" s="14"/>
    </row>
    <row r="52" spans="1:67" ht="19.5" hidden="1"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row>
    <row r="53" spans="1:67" ht="21.75" customHeight="1" x14ac:dyDescent="0.25">
      <c r="L53" s="11"/>
      <c r="M53" s="11"/>
      <c r="N53" s="11"/>
      <c r="O53" s="12"/>
      <c r="P53" s="13"/>
      <c r="Q53" s="13"/>
      <c r="R53" s="13"/>
      <c r="S53" s="13"/>
      <c r="T53" s="13"/>
      <c r="U53" s="13"/>
      <c r="V53" s="12"/>
      <c r="W53" s="13"/>
      <c r="X53" s="13"/>
      <c r="Y53" s="13"/>
      <c r="Z53" s="13"/>
      <c r="AA53" s="39"/>
      <c r="AB53" s="39"/>
      <c r="AC53" s="39"/>
      <c r="AD53" s="39"/>
      <c r="AE53" s="39"/>
    </row>
    <row r="54" spans="1:67" ht="15.75" customHeight="1" x14ac:dyDescent="0.25">
      <c r="A54" s="5"/>
      <c r="B54" s="5"/>
      <c r="C54" s="5"/>
      <c r="D54" s="5"/>
      <c r="E54" s="5"/>
      <c r="F54" s="5"/>
      <c r="G54" s="5"/>
      <c r="H54" s="5"/>
      <c r="I54" s="5"/>
      <c r="J54" s="5"/>
      <c r="K54" s="5"/>
      <c r="L54" s="284" t="s">
        <v>73</v>
      </c>
      <c r="M54" s="284"/>
      <c r="N54" s="284"/>
      <c r="O54" s="284"/>
      <c r="P54" s="284"/>
      <c r="Q54" s="284"/>
      <c r="W54" s="284" t="s">
        <v>50</v>
      </c>
      <c r="X54" s="284"/>
      <c r="Y54" s="284"/>
      <c r="Z54" s="284"/>
      <c r="AA54" s="284"/>
      <c r="AB54" s="48"/>
      <c r="AC54" s="48"/>
      <c r="AD54" s="208"/>
      <c r="AE54" s="40"/>
    </row>
    <row r="55" spans="1:67" ht="15.75" customHeight="1" x14ac:dyDescent="0.25">
      <c r="A55" s="287" t="s">
        <v>3</v>
      </c>
      <c r="B55" s="287"/>
      <c r="C55" s="287"/>
      <c r="D55" s="287"/>
      <c r="E55" s="287"/>
      <c r="F55" s="287"/>
      <c r="G55" s="27"/>
      <c r="H55" s="27"/>
      <c r="I55" s="27"/>
      <c r="J55" s="27"/>
      <c r="K55" s="27"/>
      <c r="L55" s="285" t="s">
        <v>74</v>
      </c>
      <c r="M55" s="285"/>
      <c r="N55" s="285"/>
      <c r="O55" s="285"/>
      <c r="P55" s="285"/>
      <c r="Q55" s="285"/>
      <c r="W55" s="285" t="s">
        <v>49</v>
      </c>
      <c r="X55" s="285"/>
      <c r="Y55" s="285"/>
      <c r="Z55" s="285"/>
      <c r="AA55" s="285"/>
      <c r="AB55" s="49"/>
      <c r="AC55" s="49"/>
      <c r="AD55" s="49"/>
      <c r="AE55" s="25"/>
    </row>
    <row r="56" spans="1:67" ht="15" customHeight="1" x14ac:dyDescent="0.25">
      <c r="A56" s="27"/>
      <c r="B56" s="27"/>
      <c r="C56" s="27"/>
      <c r="D56" s="27"/>
      <c r="E56" s="27"/>
      <c r="F56" s="27"/>
      <c r="G56" s="27"/>
      <c r="H56" s="27"/>
      <c r="I56" s="27"/>
      <c r="J56" s="27"/>
      <c r="K56" s="27"/>
      <c r="L56" s="42"/>
      <c r="M56" s="43"/>
      <c r="N56" s="44"/>
      <c r="O56" s="45"/>
      <c r="P56" s="45"/>
      <c r="Q56" s="41"/>
      <c r="W56" s="286" t="s">
        <v>15</v>
      </c>
      <c r="X56" s="286"/>
      <c r="Y56" s="286"/>
      <c r="Z56" s="286"/>
      <c r="AA56" s="286"/>
      <c r="AB56" s="50"/>
      <c r="AC56" s="50"/>
      <c r="AD56" s="50"/>
      <c r="AE56" s="25"/>
    </row>
    <row r="57" spans="1:67" ht="13.5" customHeight="1" x14ac:dyDescent="0.2">
      <c r="A57" s="278" t="s">
        <v>18</v>
      </c>
      <c r="B57" s="278"/>
      <c r="C57" s="278"/>
      <c r="D57" s="278"/>
      <c r="E57" s="278"/>
      <c r="F57" s="278"/>
      <c r="G57" s="278"/>
      <c r="H57" s="278"/>
      <c r="I57" s="278"/>
      <c r="J57" s="278"/>
      <c r="K57" s="278"/>
      <c r="L57" s="278"/>
      <c r="M57" s="28"/>
      <c r="N57" s="28"/>
      <c r="O57" s="7"/>
      <c r="P57" s="7"/>
      <c r="Q57" s="7"/>
      <c r="R57" s="7"/>
      <c r="S57" s="7"/>
      <c r="T57" s="7"/>
      <c r="U57" s="7"/>
    </row>
    <row r="58" spans="1:67" ht="13.5" customHeight="1" x14ac:dyDescent="0.25">
      <c r="A58" s="278" t="s">
        <v>122</v>
      </c>
      <c r="B58" s="278"/>
      <c r="C58" s="278"/>
      <c r="D58" s="278"/>
      <c r="E58" s="278"/>
      <c r="F58" s="278"/>
      <c r="G58" s="278"/>
      <c r="H58" s="278"/>
      <c r="I58" s="278"/>
      <c r="J58" s="278"/>
      <c r="K58" s="278"/>
      <c r="L58" s="278"/>
      <c r="M58" s="28"/>
      <c r="N58" s="28"/>
      <c r="O58" s="4"/>
      <c r="P58" s="4"/>
      <c r="Q58" s="4"/>
      <c r="R58" s="4"/>
      <c r="S58" s="4"/>
      <c r="T58" s="4"/>
      <c r="U58" s="4"/>
    </row>
    <row r="59" spans="1:67" ht="30" customHeight="1" x14ac:dyDescent="0.2"/>
  </sheetData>
  <autoFilter ref="A10:CI27" xr:uid="{00000000-0001-0000-0000-000000000000}">
    <filterColumn colId="1" showButton="0"/>
    <filterColumn colId="37" showButton="0"/>
    <filterColumn colId="39" showButton="0"/>
    <filterColumn colId="41" showButton="0"/>
    <filterColumn colId="43" showButton="0"/>
  </autoFilter>
  <mergeCells count="133">
    <mergeCell ref="M41:N41"/>
    <mergeCell ref="O41:P42"/>
    <mergeCell ref="Q41:R42"/>
    <mergeCell ref="G41:H41"/>
    <mergeCell ref="I41:J41"/>
    <mergeCell ref="K41:L41"/>
    <mergeCell ref="J47:N47"/>
    <mergeCell ref="O47:R47"/>
    <mergeCell ref="O44:P44"/>
    <mergeCell ref="Q44:R44"/>
    <mergeCell ref="O45:P45"/>
    <mergeCell ref="Q45:R45"/>
    <mergeCell ref="G42:H42"/>
    <mergeCell ref="I42:J42"/>
    <mergeCell ref="K42:L42"/>
    <mergeCell ref="M42:N42"/>
    <mergeCell ref="Q35:R35"/>
    <mergeCell ref="Q36:R36"/>
    <mergeCell ref="Q37:R37"/>
    <mergeCell ref="U47:V47"/>
    <mergeCell ref="G45:H45"/>
    <mergeCell ref="I45:J45"/>
    <mergeCell ref="K45:L45"/>
    <mergeCell ref="M45:N45"/>
    <mergeCell ref="O43:P43"/>
    <mergeCell ref="Q43:R43"/>
    <mergeCell ref="G44:H44"/>
    <mergeCell ref="I44:J44"/>
    <mergeCell ref="K44:L44"/>
    <mergeCell ref="M44:N44"/>
    <mergeCell ref="G43:H43"/>
    <mergeCell ref="I43:J43"/>
    <mergeCell ref="K43:L43"/>
    <mergeCell ref="M43:N43"/>
    <mergeCell ref="A39:R39"/>
    <mergeCell ref="D45:F45"/>
    <mergeCell ref="D44:F44"/>
    <mergeCell ref="D43:F43"/>
    <mergeCell ref="D42:F42"/>
    <mergeCell ref="A47:H47"/>
    <mergeCell ref="L54:Q54"/>
    <mergeCell ref="B35:E35"/>
    <mergeCell ref="B36:E36"/>
    <mergeCell ref="B37:E37"/>
    <mergeCell ref="B32:E32"/>
    <mergeCell ref="B33:E33"/>
    <mergeCell ref="B34:E34"/>
    <mergeCell ref="A29:E29"/>
    <mergeCell ref="O29:P30"/>
    <mergeCell ref="O31:P31"/>
    <mergeCell ref="O32:P32"/>
    <mergeCell ref="O33:P33"/>
    <mergeCell ref="O34:P34"/>
    <mergeCell ref="B31:E31"/>
    <mergeCell ref="B30:E30"/>
    <mergeCell ref="F29:H29"/>
    <mergeCell ref="O35:P35"/>
    <mergeCell ref="O36:P36"/>
    <mergeCell ref="O37:P37"/>
    <mergeCell ref="Q29:R30"/>
    <mergeCell ref="Q31:R31"/>
    <mergeCell ref="Q32:R32"/>
    <mergeCell ref="Q33:R33"/>
    <mergeCell ref="Q34:R34"/>
    <mergeCell ref="B21:B22"/>
    <mergeCell ref="B10:C10"/>
    <mergeCell ref="AL10:AM10"/>
    <mergeCell ref="AN10:AO10"/>
    <mergeCell ref="AP10:AQ10"/>
    <mergeCell ref="AR10:AS10"/>
    <mergeCell ref="AU9:AY9"/>
    <mergeCell ref="I29:K29"/>
    <mergeCell ref="L29:N29"/>
    <mergeCell ref="B26:E26"/>
    <mergeCell ref="A5:AF5"/>
    <mergeCell ref="AA6:AC6"/>
    <mergeCell ref="AE6:AF7"/>
    <mergeCell ref="AA7:AC7"/>
    <mergeCell ref="A8:F9"/>
    <mergeCell ref="V9:Z9"/>
    <mergeCell ref="Q9:U9"/>
    <mergeCell ref="G9:K9"/>
    <mergeCell ref="AD8:AD10"/>
    <mergeCell ref="L8:Z8"/>
    <mergeCell ref="G8:K8"/>
    <mergeCell ref="AE1:AF3"/>
    <mergeCell ref="Y3:AC3"/>
    <mergeCell ref="Y2:AC2"/>
    <mergeCell ref="Y1:AC1"/>
    <mergeCell ref="A1:C3"/>
    <mergeCell ref="M3:X3"/>
    <mergeCell ref="D3:L3"/>
    <mergeCell ref="D1:X2"/>
    <mergeCell ref="AC47:AF47"/>
    <mergeCell ref="L9:P9"/>
    <mergeCell ref="AF8:AF10"/>
    <mergeCell ref="AA8:AA10"/>
    <mergeCell ref="AE8:AE10"/>
    <mergeCell ref="AB8:AB10"/>
    <mergeCell ref="AC8:AC10"/>
    <mergeCell ref="S29:T30"/>
    <mergeCell ref="S31:T31"/>
    <mergeCell ref="S32:T32"/>
    <mergeCell ref="S33:T33"/>
    <mergeCell ref="S34:T34"/>
    <mergeCell ref="S35:T35"/>
    <mergeCell ref="S36:T36"/>
    <mergeCell ref="S37:T37"/>
    <mergeCell ref="AA47:AB47"/>
    <mergeCell ref="BH9:BI9"/>
    <mergeCell ref="BB9:BF9"/>
    <mergeCell ref="BQ9:BR9"/>
    <mergeCell ref="BK9:BO9"/>
    <mergeCell ref="A6:Z6"/>
    <mergeCell ref="A7:Z7"/>
    <mergeCell ref="A58:L58"/>
    <mergeCell ref="A48:AF48"/>
    <mergeCell ref="A49:AF49"/>
    <mergeCell ref="A50:AF50"/>
    <mergeCell ref="A51:AF51"/>
    <mergeCell ref="W54:AA54"/>
    <mergeCell ref="W55:AA55"/>
    <mergeCell ref="W56:AA56"/>
    <mergeCell ref="A55:F55"/>
    <mergeCell ref="A57:L57"/>
    <mergeCell ref="L55:Q55"/>
    <mergeCell ref="A27:F27"/>
    <mergeCell ref="AA27:AB27"/>
    <mergeCell ref="B11:B14"/>
    <mergeCell ref="B23:E23"/>
    <mergeCell ref="B24:E24"/>
    <mergeCell ref="B25:E25"/>
    <mergeCell ref="B15:B20"/>
  </mergeCells>
  <phoneticPr fontId="30" type="noConversion"/>
  <conditionalFormatting sqref="BD11:BD29 BD31:BD47">
    <cfRule type="cellIs" dxfId="4" priority="4" operator="greaterThanOrEqual">
      <formula>0.79</formula>
    </cfRule>
  </conditionalFormatting>
  <conditionalFormatting sqref="BI11:BI27">
    <cfRule type="cellIs" dxfId="3" priority="3" operator="greaterThan">
      <formula>0.49</formula>
    </cfRule>
  </conditionalFormatting>
  <conditionalFormatting sqref="BM11:BM29 BM31:BM47">
    <cfRule type="cellIs" dxfId="2" priority="6" operator="greaterThan">
      <formula>0.8</formula>
    </cfRule>
  </conditionalFormatting>
  <conditionalFormatting sqref="BM11:BM29 BM31:BM49">
    <cfRule type="cellIs" dxfId="1" priority="2" operator="greaterThanOrEqual">
      <formula>0.79</formula>
    </cfRule>
  </conditionalFormatting>
  <conditionalFormatting sqref="BR11:BR29">
    <cfRule type="cellIs" dxfId="0" priority="1" operator="greaterThanOrEqual">
      <formula>0.49</formula>
    </cfRule>
  </conditionalFormatting>
  <printOptions horizontalCentered="1"/>
  <pageMargins left="0.19685039370078741" right="0.19685039370078741" top="0.39370078740157483" bottom="0.35433070866141736" header="0" footer="0"/>
  <pageSetup scale="28" fitToHeight="2" orientation="landscape" r:id="rId1"/>
  <headerFooter alignWithMargins="0"/>
  <rowBreaks count="1" manualBreakCount="1">
    <brk id="20" max="30"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PROPUESTA ECONÓMICA</vt:lpstr>
      <vt:lpstr>Hoja2</vt:lpstr>
      <vt:lpstr>ESCENARIO 2</vt:lpstr>
      <vt:lpstr>'ESCENARIO 2'!Área_de_impresión</vt:lpstr>
      <vt:lpstr>'PROPUESTA ECONÓMICA'!Área_de_impresión</vt:lpstr>
    </vt:vector>
  </TitlesOfParts>
  <Company>Terminal de Transporte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Terminal de Transporte S.A.</dc:creator>
  <cp:lastModifiedBy>Jamile Ospino Prato</cp:lastModifiedBy>
  <cp:lastPrinted>2024-01-10T21:44:57Z</cp:lastPrinted>
  <dcterms:created xsi:type="dcterms:W3CDTF">2005-09-12T20:11:04Z</dcterms:created>
  <dcterms:modified xsi:type="dcterms:W3CDTF">2026-06-10T17:41:55Z</dcterms:modified>
</cp:coreProperties>
</file>