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192.168.1.10\corporativa\PROYECTOS PARA ESTUDIO\2026\SERVICIO DE HOSTING - INVITACIÓN PRIVADA No.013\"/>
    </mc:Choice>
  </mc:AlternateContent>
  <xr:revisionPtr revIDLastSave="0" documentId="13_ncr:1_{3C95B7E1-2E55-498F-8ABB-9CA8BD96A6A0}" xr6:coauthVersionLast="36" xr6:coauthVersionMax="47" xr10:uidLastSave="{00000000-0000-0000-0000-000000000000}"/>
  <bookViews>
    <workbookView xWindow="0" yWindow="0" windowWidth="12330" windowHeight="9795" firstSheet="1" activeTab="1" xr2:uid="{00000000-000D-0000-FFFF-FFFF00000000}"/>
  </bookViews>
  <sheets>
    <sheet name="ASAMBLEA" sheetId="5" state="hidden" r:id="rId1"/>
    <sheet name="PROPUESTA ECONÓMICA" sheetId="6" r:id="rId2"/>
  </sheets>
  <definedNames>
    <definedName name="_xlnm._FilterDatabase" localSheetId="0" hidden="1">ASAMBLEA!$A$10:$AV$29</definedName>
    <definedName name="_xlnm._FilterDatabase" localSheetId="1" hidden="1">'PROPUESTA ECONÓMICA'!$A$7:$F$23</definedName>
    <definedName name="_xlnm.Print_Area" localSheetId="0">ASAMBLEA!$A$1:$AY$34</definedName>
    <definedName name="_xlnm.Print_Area" localSheetId="1">'PROPUESTA ECONÓMICA'!$A$1:$F$33</definedName>
  </definedNames>
  <calcPr calcId="191029"/>
</workbook>
</file>

<file path=xl/calcChain.xml><?xml version="1.0" encoding="utf-8"?>
<calcChain xmlns="http://schemas.openxmlformats.org/spreadsheetml/2006/main">
  <c r="F22" i="6" l="1"/>
  <c r="F20" i="6" l="1"/>
  <c r="D20" i="6" l="1"/>
  <c r="U12" i="5" l="1"/>
  <c r="Z12" i="5" s="1"/>
  <c r="X26" i="5"/>
  <c r="Y26" i="5" s="1"/>
  <c r="X27" i="5"/>
  <c r="Z26" i="5"/>
  <c r="AA26" i="5" s="1"/>
  <c r="Z25" i="5"/>
  <c r="AA25" i="5" s="1"/>
  <c r="Z19" i="5"/>
  <c r="Y13" i="5"/>
  <c r="Y27" i="5"/>
  <c r="X13" i="5"/>
  <c r="Z15" i="5"/>
  <c r="AA15" i="5" s="1"/>
  <c r="X15" i="5"/>
  <c r="Y15" i="5" s="1"/>
  <c r="Z14" i="5"/>
  <c r="AA14" i="5" s="1"/>
  <c r="Z13" i="5"/>
  <c r="AA13" i="5" s="1"/>
  <c r="Z16" i="5"/>
  <c r="AA16" i="5" s="1"/>
  <c r="Z17" i="5"/>
  <c r="AA17" i="5" s="1"/>
  <c r="Z18" i="5"/>
  <c r="AA18" i="5" s="1"/>
  <c r="Z20" i="5"/>
  <c r="AA20" i="5" s="1"/>
  <c r="Z21" i="5"/>
  <c r="Z22" i="5"/>
  <c r="AA22" i="5" s="1"/>
  <c r="Z23" i="5"/>
  <c r="AA23" i="5" s="1"/>
  <c r="Z24" i="5"/>
  <c r="AA24" i="5" s="1"/>
  <c r="Z27" i="5"/>
  <c r="P12" i="5"/>
  <c r="X11" i="5"/>
  <c r="Y11" i="5" s="1"/>
  <c r="F12" i="5"/>
  <c r="AA19" i="5"/>
  <c r="AA21" i="5"/>
  <c r="AA27" i="5"/>
  <c r="T14" i="5"/>
  <c r="I28" i="5"/>
  <c r="K28" i="5"/>
  <c r="O28" i="5"/>
  <c r="Q28" i="5"/>
  <c r="S28" i="5"/>
  <c r="H27" i="5"/>
  <c r="L27" i="5"/>
  <c r="L26" i="5"/>
  <c r="L25" i="5"/>
  <c r="L24" i="5"/>
  <c r="L23" i="5"/>
  <c r="L22" i="5"/>
  <c r="L21" i="5"/>
  <c r="L20" i="5"/>
  <c r="L19" i="5"/>
  <c r="L18" i="5"/>
  <c r="L17" i="5"/>
  <c r="L16" i="5"/>
  <c r="L15" i="5"/>
  <c r="L14" i="5"/>
  <c r="L13" i="5"/>
  <c r="L12" i="5"/>
  <c r="L11" i="5"/>
  <c r="L28" i="5" s="1"/>
  <c r="J27" i="5"/>
  <c r="J26" i="5"/>
  <c r="J25" i="5"/>
  <c r="J24" i="5"/>
  <c r="J23" i="5"/>
  <c r="J22" i="5"/>
  <c r="J21" i="5"/>
  <c r="J20" i="5"/>
  <c r="J19" i="5"/>
  <c r="J18" i="5"/>
  <c r="J17" i="5"/>
  <c r="J16" i="5"/>
  <c r="J15" i="5"/>
  <c r="J14" i="5"/>
  <c r="J13" i="5"/>
  <c r="J12" i="5"/>
  <c r="J11" i="5"/>
  <c r="N27" i="5"/>
  <c r="N26" i="5"/>
  <c r="N25" i="5"/>
  <c r="N24" i="5"/>
  <c r="N23" i="5"/>
  <c r="N22" i="5"/>
  <c r="N21" i="5"/>
  <c r="N20" i="5"/>
  <c r="N19" i="5"/>
  <c r="N18" i="5"/>
  <c r="N17" i="5"/>
  <c r="N16" i="5"/>
  <c r="N15" i="5"/>
  <c r="N14" i="5"/>
  <c r="N13" i="5"/>
  <c r="N12" i="5"/>
  <c r="P27" i="5"/>
  <c r="P26" i="5"/>
  <c r="P25" i="5"/>
  <c r="P24" i="5"/>
  <c r="P23" i="5"/>
  <c r="P22" i="5"/>
  <c r="P21" i="5"/>
  <c r="P20" i="5"/>
  <c r="P19" i="5"/>
  <c r="P18" i="5"/>
  <c r="P17" i="5"/>
  <c r="P16" i="5"/>
  <c r="P15" i="5"/>
  <c r="P14" i="5"/>
  <c r="P13" i="5"/>
  <c r="P11" i="5"/>
  <c r="R27" i="5"/>
  <c r="R26" i="5"/>
  <c r="R25" i="5"/>
  <c r="R24" i="5"/>
  <c r="R23" i="5"/>
  <c r="R22" i="5"/>
  <c r="R21" i="5"/>
  <c r="R20" i="5"/>
  <c r="R19" i="5"/>
  <c r="R18" i="5"/>
  <c r="R17" i="5"/>
  <c r="R16" i="5"/>
  <c r="R15" i="5"/>
  <c r="R14" i="5"/>
  <c r="R13" i="5"/>
  <c r="R12" i="5"/>
  <c r="R11" i="5"/>
  <c r="T27" i="5"/>
  <c r="T26" i="5"/>
  <c r="T25" i="5"/>
  <c r="T24" i="5"/>
  <c r="T23" i="5"/>
  <c r="T22" i="5"/>
  <c r="T21" i="5"/>
  <c r="T20" i="5"/>
  <c r="T19" i="5"/>
  <c r="T18" i="5"/>
  <c r="T17" i="5"/>
  <c r="T16" i="5"/>
  <c r="T15" i="5"/>
  <c r="T13" i="5"/>
  <c r="T12" i="5"/>
  <c r="T11" i="5"/>
  <c r="V16" i="5"/>
  <c r="V13" i="5"/>
  <c r="V27" i="5"/>
  <c r="V26" i="5"/>
  <c r="V25" i="5"/>
  <c r="V24" i="5"/>
  <c r="V22" i="5"/>
  <c r="V23" i="5"/>
  <c r="V21" i="5"/>
  <c r="V20" i="5"/>
  <c r="V19" i="5"/>
  <c r="V18" i="5"/>
  <c r="V17" i="5"/>
  <c r="V15" i="5"/>
  <c r="V14" i="5"/>
  <c r="V11" i="5"/>
  <c r="T28" i="5" l="1"/>
  <c r="R28" i="5"/>
  <c r="P28" i="5"/>
  <c r="J28" i="5"/>
  <c r="V12" i="5"/>
  <c r="U28" i="5"/>
  <c r="X12" i="5"/>
  <c r="Y12" i="5" s="1"/>
  <c r="V28" i="5"/>
  <c r="Z11" i="5"/>
  <c r="AA11" i="5" s="1"/>
  <c r="N11" i="5"/>
  <c r="N28" i="5" s="1"/>
  <c r="M28" i="5"/>
  <c r="F11" i="5" l="1"/>
  <c r="AD29" i="5"/>
  <c r="AC37" i="5"/>
  <c r="AC36" i="5"/>
  <c r="AC35" i="5"/>
  <c r="AC29" i="5"/>
  <c r="AI27" i="5"/>
  <c r="AH27" i="5"/>
  <c r="AG27" i="5"/>
  <c r="AF27" i="5"/>
  <c r="AE27" i="5"/>
  <c r="AD27" i="5"/>
  <c r="AC27" i="5"/>
  <c r="AI26" i="5"/>
  <c r="AH26" i="5"/>
  <c r="AG26" i="5"/>
  <c r="AF26" i="5"/>
  <c r="AE26" i="5"/>
  <c r="AD26" i="5"/>
  <c r="AC26" i="5"/>
  <c r="F26" i="5"/>
  <c r="G26" i="5" s="1"/>
  <c r="H26" i="5" s="1"/>
  <c r="AI25" i="5"/>
  <c r="AH25" i="5"/>
  <c r="AG25" i="5"/>
  <c r="AF25" i="5"/>
  <c r="AE25" i="5"/>
  <c r="AD25" i="5"/>
  <c r="AC25" i="5"/>
  <c r="X25" i="5"/>
  <c r="Y25" i="5" s="1"/>
  <c r="F25" i="5"/>
  <c r="G25" i="5" s="1"/>
  <c r="H25" i="5" s="1"/>
  <c r="AI24" i="5"/>
  <c r="AH24" i="5"/>
  <c r="AG24" i="5"/>
  <c r="AF24" i="5"/>
  <c r="AE24" i="5"/>
  <c r="AD24" i="5"/>
  <c r="AC24" i="5"/>
  <c r="X24" i="5"/>
  <c r="Y24" i="5" s="1"/>
  <c r="F24" i="5"/>
  <c r="G24" i="5" s="1"/>
  <c r="H24" i="5" s="1"/>
  <c r="AI23" i="5"/>
  <c r="AH23" i="5"/>
  <c r="AG23" i="5"/>
  <c r="AF23" i="5"/>
  <c r="AE23" i="5"/>
  <c r="AD23" i="5"/>
  <c r="AC23" i="5"/>
  <c r="X23" i="5"/>
  <c r="Y23" i="5" s="1"/>
  <c r="F23" i="5"/>
  <c r="G23" i="5" s="1"/>
  <c r="H23" i="5" s="1"/>
  <c r="AI22" i="5"/>
  <c r="AH22" i="5"/>
  <c r="AG22" i="5"/>
  <c r="AF22" i="5"/>
  <c r="AE22" i="5"/>
  <c r="AD22" i="5"/>
  <c r="AC22" i="5"/>
  <c r="X22" i="5"/>
  <c r="Y22" i="5" s="1"/>
  <c r="F22" i="5"/>
  <c r="G22" i="5" s="1"/>
  <c r="H22" i="5" s="1"/>
  <c r="AI21" i="5"/>
  <c r="AH21" i="5"/>
  <c r="AG21" i="5"/>
  <c r="AF21" i="5"/>
  <c r="AE21" i="5"/>
  <c r="AD21" i="5"/>
  <c r="AC21" i="5"/>
  <c r="X21" i="5"/>
  <c r="Y21" i="5" s="1"/>
  <c r="F21" i="5"/>
  <c r="G21" i="5" s="1"/>
  <c r="H21" i="5" s="1"/>
  <c r="AI20" i="5"/>
  <c r="AH20" i="5"/>
  <c r="AG20" i="5"/>
  <c r="AF20" i="5"/>
  <c r="AE20" i="5"/>
  <c r="AD20" i="5"/>
  <c r="AC20" i="5"/>
  <c r="X20" i="5"/>
  <c r="Y20" i="5" s="1"/>
  <c r="F20" i="5"/>
  <c r="G20" i="5" s="1"/>
  <c r="H20" i="5" s="1"/>
  <c r="AI19" i="5"/>
  <c r="AH19" i="5"/>
  <c r="AG19" i="5"/>
  <c r="AF19" i="5"/>
  <c r="AE19" i="5"/>
  <c r="AD19" i="5"/>
  <c r="AC19" i="5"/>
  <c r="X19" i="5"/>
  <c r="Y19" i="5" s="1"/>
  <c r="F19" i="5"/>
  <c r="G19" i="5" s="1"/>
  <c r="H19" i="5" s="1"/>
  <c r="AI18" i="5"/>
  <c r="AH18" i="5"/>
  <c r="AG18" i="5"/>
  <c r="AF18" i="5"/>
  <c r="AE18" i="5"/>
  <c r="AD18" i="5"/>
  <c r="AC18" i="5"/>
  <c r="X18" i="5"/>
  <c r="Y18" i="5" s="1"/>
  <c r="F18" i="5"/>
  <c r="G18" i="5" s="1"/>
  <c r="H18" i="5" s="1"/>
  <c r="AI17" i="5"/>
  <c r="AH17" i="5"/>
  <c r="AG17" i="5"/>
  <c r="AF17" i="5"/>
  <c r="AE17" i="5"/>
  <c r="AD17" i="5"/>
  <c r="AC17" i="5"/>
  <c r="X17" i="5"/>
  <c r="Y17" i="5" s="1"/>
  <c r="F17" i="5"/>
  <c r="G17" i="5" s="1"/>
  <c r="H17" i="5" s="1"/>
  <c r="AI16" i="5"/>
  <c r="AH16" i="5"/>
  <c r="AG16" i="5"/>
  <c r="AF16" i="5"/>
  <c r="AE16" i="5"/>
  <c r="AD16" i="5"/>
  <c r="AC16" i="5"/>
  <c r="X16" i="5"/>
  <c r="Y16" i="5" s="1"/>
  <c r="F16" i="5"/>
  <c r="G16" i="5" s="1"/>
  <c r="H16" i="5" s="1"/>
  <c r="AI15" i="5"/>
  <c r="AH15" i="5"/>
  <c r="AG15" i="5"/>
  <c r="AF15" i="5"/>
  <c r="AE15" i="5"/>
  <c r="AD15" i="5"/>
  <c r="AC15" i="5"/>
  <c r="F15" i="5"/>
  <c r="G15" i="5" s="1"/>
  <c r="H15" i="5" s="1"/>
  <c r="AI14" i="5"/>
  <c r="AH14" i="5"/>
  <c r="AG14" i="5"/>
  <c r="AF14" i="5"/>
  <c r="AE14" i="5"/>
  <c r="AD14" i="5"/>
  <c r="AC14" i="5"/>
  <c r="X14" i="5"/>
  <c r="F14" i="5"/>
  <c r="G14" i="5" s="1"/>
  <c r="H14" i="5" s="1"/>
  <c r="AI13" i="5"/>
  <c r="AH13" i="5"/>
  <c r="AG13" i="5"/>
  <c r="AF13" i="5"/>
  <c r="AE13" i="5"/>
  <c r="AD13" i="5"/>
  <c r="AC13" i="5"/>
  <c r="F13" i="5"/>
  <c r="G13" i="5" s="1"/>
  <c r="H13" i="5" s="1"/>
  <c r="AI12" i="5"/>
  <c r="AH12" i="5"/>
  <c r="AG12" i="5"/>
  <c r="AF12" i="5"/>
  <c r="AE12" i="5"/>
  <c r="AD12" i="5"/>
  <c r="AC12" i="5"/>
  <c r="G12" i="5"/>
  <c r="H12" i="5" s="1"/>
  <c r="AI11" i="5"/>
  <c r="AH11" i="5"/>
  <c r="AG11" i="5"/>
  <c r="AF11" i="5"/>
  <c r="AE11" i="5"/>
  <c r="AD11" i="5"/>
  <c r="AC11" i="5"/>
  <c r="G11" i="5"/>
  <c r="H11" i="5" s="1"/>
  <c r="U6" i="5"/>
  <c r="H28" i="5" l="1"/>
  <c r="Y14" i="5"/>
  <c r="Y28" i="5" s="1"/>
  <c r="O34" i="5" s="1"/>
  <c r="X28" i="5"/>
  <c r="AA12" i="5"/>
  <c r="AA28" i="5" s="1"/>
  <c r="Z28" i="5"/>
  <c r="AT12" i="5"/>
  <c r="AW12" i="5" s="1"/>
  <c r="AP23" i="5"/>
  <c r="AJ24" i="5"/>
  <c r="AP27" i="5"/>
  <c r="AQ11" i="5"/>
  <c r="AQ16" i="5"/>
  <c r="AT26" i="5"/>
  <c r="AW26" i="5" s="1"/>
  <c r="AK13" i="5"/>
  <c r="AQ14" i="5"/>
  <c r="AJ20" i="5"/>
  <c r="AT22" i="5"/>
  <c r="AW22" i="5" s="1"/>
  <c r="AT24" i="5"/>
  <c r="AW24" i="5" s="1"/>
  <c r="AQ25" i="5"/>
  <c r="AQ26" i="5"/>
  <c r="AP15" i="5"/>
  <c r="AT18" i="5"/>
  <c r="AW18" i="5" s="1"/>
  <c r="AQ19" i="5"/>
  <c r="AT20" i="5"/>
  <c r="AW20" i="5" s="1"/>
  <c r="AQ21" i="5"/>
  <c r="AQ22" i="5"/>
  <c r="AQ24" i="5"/>
  <c r="AJ12" i="5"/>
  <c r="AQ12" i="5"/>
  <c r="AP19" i="5"/>
  <c r="AQ23" i="5"/>
  <c r="AQ27" i="5"/>
  <c r="AP11" i="5"/>
  <c r="AT14" i="5"/>
  <c r="AW14" i="5" s="1"/>
  <c r="AQ15" i="5"/>
  <c r="AT16" i="5"/>
  <c r="AW16" i="5" s="1"/>
  <c r="AJ16" i="5"/>
  <c r="AQ17" i="5"/>
  <c r="AQ18" i="5"/>
  <c r="AQ20" i="5"/>
  <c r="AU26" i="5"/>
  <c r="AV26" i="5" s="1"/>
  <c r="AP13" i="5"/>
  <c r="AK17" i="5"/>
  <c r="AJ13" i="5"/>
  <c r="AT13" i="5"/>
  <c r="AW13" i="5" s="1"/>
  <c r="AK14" i="5"/>
  <c r="AP14" i="5"/>
  <c r="AJ17" i="5"/>
  <c r="AT17" i="5"/>
  <c r="AW17" i="5" s="1"/>
  <c r="AK18" i="5"/>
  <c r="AP18" i="5"/>
  <c r="AJ21" i="5"/>
  <c r="AT21" i="5"/>
  <c r="AW21" i="5" s="1"/>
  <c r="AK22" i="5"/>
  <c r="AP22" i="5"/>
  <c r="AJ25" i="5"/>
  <c r="AT25" i="5"/>
  <c r="AW25" i="5" s="1"/>
  <c r="AK26" i="5"/>
  <c r="AP26" i="5"/>
  <c r="AJ27" i="5"/>
  <c r="AT27" i="5"/>
  <c r="AW27" i="5" s="1"/>
  <c r="AP17" i="5"/>
  <c r="AR17" i="5" s="1"/>
  <c r="AP21" i="5"/>
  <c r="AP25" i="5"/>
  <c r="AK27" i="5"/>
  <c r="AK21" i="5"/>
  <c r="AK25" i="5"/>
  <c r="AJ11" i="5"/>
  <c r="AT11" i="5"/>
  <c r="AW11" i="5" s="1"/>
  <c r="AK12" i="5"/>
  <c r="AP12" i="5"/>
  <c r="AQ13" i="5"/>
  <c r="AJ15" i="5"/>
  <c r="AT15" i="5"/>
  <c r="AW15" i="5" s="1"/>
  <c r="AK16" i="5"/>
  <c r="AP16" i="5"/>
  <c r="AR16" i="5" s="1"/>
  <c r="AJ19" i="5"/>
  <c r="AT19" i="5"/>
  <c r="AW19" i="5" s="1"/>
  <c r="AK20" i="5"/>
  <c r="AP20" i="5"/>
  <c r="AJ23" i="5"/>
  <c r="AT23" i="5"/>
  <c r="AW23" i="5" s="1"/>
  <c r="AK24" i="5"/>
  <c r="AP24" i="5"/>
  <c r="AK11" i="5"/>
  <c r="AJ14" i="5"/>
  <c r="AK15" i="5"/>
  <c r="AJ18" i="5"/>
  <c r="AK19" i="5"/>
  <c r="AJ22" i="5"/>
  <c r="AK23" i="5"/>
  <c r="AJ26" i="5"/>
  <c r="AR23" i="5" l="1"/>
  <c r="AU14" i="5"/>
  <c r="AV14" i="5" s="1"/>
  <c r="O32" i="5"/>
  <c r="AR15" i="5"/>
  <c r="AR11" i="5"/>
  <c r="AU12" i="5"/>
  <c r="AV12" i="5" s="1"/>
  <c r="AU18" i="5"/>
  <c r="AV18" i="5" s="1"/>
  <c r="AU20" i="5"/>
  <c r="AV20" i="5" s="1"/>
  <c r="AR27" i="5"/>
  <c r="AU22" i="5"/>
  <c r="AV22" i="5" s="1"/>
  <c r="AR21" i="5"/>
  <c r="AR19" i="5"/>
  <c r="AR24" i="5"/>
  <c r="AR13" i="5"/>
  <c r="AR25" i="5"/>
  <c r="AR12" i="5"/>
  <c r="AR22" i="5"/>
  <c r="AR14" i="5"/>
  <c r="AU24" i="5"/>
  <c r="AV24" i="5" s="1"/>
  <c r="AU16" i="5"/>
  <c r="AV16" i="5" s="1"/>
  <c r="AR26" i="5"/>
  <c r="AR18" i="5"/>
  <c r="AR20" i="5"/>
  <c r="AL23" i="5"/>
  <c r="AN23" i="5" s="1"/>
  <c r="AL15" i="5"/>
  <c r="AN15" i="5" s="1"/>
  <c r="AL17" i="5"/>
  <c r="AN17" i="5" s="1"/>
  <c r="AU11" i="5"/>
  <c r="AV11" i="5" s="1"/>
  <c r="AU21" i="5"/>
  <c r="AV21" i="5" s="1"/>
  <c r="AL27" i="5"/>
  <c r="AN27" i="5" s="1"/>
  <c r="AL26" i="5"/>
  <c r="AN26" i="5" s="1"/>
  <c r="AL22" i="5"/>
  <c r="AM22" i="5" s="1"/>
  <c r="AL18" i="5"/>
  <c r="AN18" i="5" s="1"/>
  <c r="AL14" i="5"/>
  <c r="AM14" i="5" s="1"/>
  <c r="AU25" i="5"/>
  <c r="AV25" i="5" s="1"/>
  <c r="AU13" i="5"/>
  <c r="AV13" i="5" s="1"/>
  <c r="AL19" i="5"/>
  <c r="AN19" i="5" s="1"/>
  <c r="AL11" i="5"/>
  <c r="AM11" i="5" s="1"/>
  <c r="AL24" i="5"/>
  <c r="AM24" i="5" s="1"/>
  <c r="AL20" i="5"/>
  <c r="AM20" i="5" s="1"/>
  <c r="AL16" i="5"/>
  <c r="AM16" i="5" s="1"/>
  <c r="AL25" i="5"/>
  <c r="AN25" i="5" s="1"/>
  <c r="AU19" i="5"/>
  <c r="AV19" i="5" s="1"/>
  <c r="AL12" i="5"/>
  <c r="AM12" i="5" s="1"/>
  <c r="AL21" i="5"/>
  <c r="AN21" i="5" s="1"/>
  <c r="AU17" i="5"/>
  <c r="AV17" i="5" s="1"/>
  <c r="AU15" i="5"/>
  <c r="AV15" i="5" s="1"/>
  <c r="AU27" i="5"/>
  <c r="AV27" i="5" s="1"/>
  <c r="AU23" i="5"/>
  <c r="AV23" i="5" s="1"/>
  <c r="AL13" i="5"/>
  <c r="AN13" i="5" s="1"/>
  <c r="AM17" i="5" l="1"/>
  <c r="AM18" i="5"/>
  <c r="AM27" i="5"/>
  <c r="AN22" i="5"/>
  <c r="AN11" i="5"/>
  <c r="AN24" i="5"/>
  <c r="AM25" i="5"/>
  <c r="AN16" i="5"/>
  <c r="AM21" i="5"/>
  <c r="AN14" i="5"/>
  <c r="AM13" i="5"/>
  <c r="AM26" i="5"/>
  <c r="AM19" i="5"/>
  <c r="AN12" i="5"/>
  <c r="AM23" i="5"/>
  <c r="AN20" i="5"/>
  <c r="AM1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Nora Garcia</author>
  </authors>
  <commentList>
    <comment ref="A33" authorId="0" shapeId="0" xr:uid="{00000000-0006-0000-0000-000001000000}">
      <text>
        <r>
          <rPr>
            <b/>
            <sz val="9"/>
            <color indexed="81"/>
            <rFont val="Tahoma"/>
            <family val="2"/>
          </rPr>
          <t>Nora Garcia:</t>
        </r>
        <r>
          <rPr>
            <sz val="9"/>
            <color indexed="81"/>
            <rFont val="Tahoma"/>
            <family val="2"/>
          </rPr>
          <t xml:space="preserve">
Nombre y cargo de quien revisa y aprueba, debe ser el lider del proyecto y debe ir con el correspondiente Vo Bo</t>
        </r>
      </text>
    </comment>
    <comment ref="A35" authorId="0" shapeId="0" xr:uid="{00000000-0006-0000-0000-000002000000}">
      <text>
        <r>
          <rPr>
            <b/>
            <sz val="9"/>
            <color indexed="81"/>
            <rFont val="Tahoma"/>
            <family val="2"/>
          </rPr>
          <t>Nora Garcia:</t>
        </r>
        <r>
          <rPr>
            <sz val="9"/>
            <color indexed="81"/>
            <rFont val="Tahoma"/>
            <family val="2"/>
          </rPr>
          <t xml:space="preserve">
Nombre y cargo de quien proyecta de la Subgerencia Corporativa </t>
        </r>
      </text>
    </comment>
  </commentList>
</comments>
</file>

<file path=xl/sharedStrings.xml><?xml version="1.0" encoding="utf-8"?>
<sst xmlns="http://schemas.openxmlformats.org/spreadsheetml/2006/main" count="144" uniqueCount="110">
  <si>
    <t>COTIZACIONES ENTREGADAS</t>
  </si>
  <si>
    <t>ESTUDIO DE PRECIOS DE MERCADO</t>
  </si>
  <si>
    <t>FORMATO</t>
  </si>
  <si>
    <t xml:space="preserve">TIEMPO DE EJECUCIÓN EN MESES </t>
  </si>
  <si>
    <t>PRESUPUESTO OFICIAL PARA LA CONTRATACIÓN DE ESTE OBJETO:</t>
  </si>
  <si>
    <t xml:space="preserve">Revisó y aprobó:  </t>
  </si>
  <si>
    <t>PRESUPUESTO ASIGNADO EN PLAN ANUAL DE ADQUISICIONES PARA LA VIGENCIA:</t>
  </si>
  <si>
    <t>BIENES YIO SERVICIOS</t>
  </si>
  <si>
    <t>VALOR DEL PRESUPUESTO OFICIAL SEGÚN ESTUDIO</t>
  </si>
  <si>
    <t>VERSIÓN N° 05</t>
  </si>
  <si>
    <r>
      <t xml:space="preserve">NOTAS 
</t>
    </r>
    <r>
      <rPr>
        <sz val="8"/>
        <rFont val="Calibri"/>
        <family val="2"/>
        <scheme val="minor"/>
      </rPr>
      <t>1. La columna de valor total puede ser omitida según la necesidad del estudio de precios, para casos donde solo se cotizan valores unitarios de los bienes o servicios.
2.  Antes del total se pueden incluir las filas necesarias para llegar a este valor, según la naturaleza del contrato, la calidad del contratista (Persona natural o jurídica) (impuestos  o gravámenes especiales tales como (IVA, AIU), Asi como descuentos comerciales.
3.  El número de cotizaciones incluidas en el formato será de acuerdo a la modalidad de contratación y a las presentadas por los posibles contratistas.
4. En la descripción de características y/o especificaciones técnicas se podrá insertar las columnas necesarias, con el fin de dejar claro la  especificidad  del bien o servicio,  como (Clase, tipo, capacidad, entre otros).
5. Se agrega en la firma el cargo del líder del proyecto.
6. En las observaciones se podrán incluir cuadros descriptivos según necesidad, con el fin de aclarar alguna novedad durante el proceso del estudio.</t>
    </r>
  </si>
  <si>
    <t>FECHA: FEBRERO DE 2017</t>
  </si>
  <si>
    <t>GESTIÓN JURÍDICA Y CONTRACTUAL</t>
  </si>
  <si>
    <t>CÓDIGO: GJC-FT09</t>
  </si>
  <si>
    <t>UNIDAD</t>
  </si>
  <si>
    <t>ITEM</t>
  </si>
  <si>
    <t xml:space="preserve">DESCRIPCIÓN- ESPECIFICACIONES TÉCNICAS </t>
  </si>
  <si>
    <t xml:space="preserve">  VALOR UNITARIO PROMEDIO POR BIEN O SERVICIO</t>
  </si>
  <si>
    <t>VALOR TOTAL SUGERIDO (VALOR PROMEDIO)</t>
  </si>
  <si>
    <t>Proyectó: Yalile Maldonado - Contratista Subgerencia Corproativa</t>
  </si>
  <si>
    <t xml:space="preserve">Consolidó: Manuel Antonio Santamaría Guzmán - Técnico 3 - Subgerencia Corporativa </t>
  </si>
  <si>
    <t xml:space="preserve">Revisó: Manuel Fernando Cifuentes Bonilla - Profesional 3 - Subgerencia Corproativba </t>
  </si>
  <si>
    <r>
      <t xml:space="preserve">NOMBRE DEL PROYECTO: </t>
    </r>
    <r>
      <rPr>
        <sz val="12"/>
        <rFont val="Arial Narrow"/>
        <family val="2"/>
      </rPr>
      <t>Contratación de un operador logístico para el desarrollo de actividades de socialización y pedagogía de la Terminal de Transporte S.A.</t>
    </r>
  </si>
  <si>
    <r>
      <t xml:space="preserve">1. EVENTO ASAMBLEA GENERAL DE ACCIONISTAS
 </t>
    </r>
    <r>
      <rPr>
        <i/>
        <u/>
        <sz val="11"/>
        <color theme="1"/>
        <rFont val="Arial Narrow"/>
        <family val="2"/>
      </rPr>
      <t>(Se estiman 60 personas)</t>
    </r>
  </si>
  <si>
    <t>Evento Asamblea General de Accionistas que se realizará en el mes de marzo de 2024: Alquiler de salón de eventos en hotel o centros de convenciones o eventos  con capacidad de 60 personas y con los siguientes servicios:</t>
  </si>
  <si>
    <t>Alquiler de salón y sillas ubicadas tipo Aula (4 horas)</t>
  </si>
  <si>
    <t>Hora</t>
  </si>
  <si>
    <t>Estación de bebidas calientes (café + leche + aromática) ( 60 personas)</t>
  </si>
  <si>
    <t xml:space="preserve">Desayuno servido Americano. (Plato de fruta de la temporada, Omelette clásico con jamón y queso, tocineta ahumada y salchichas, Papa hash Brown, pan, mantequilla y mermelada, Café, té o chocolate, jugo de naranja) </t>
  </si>
  <si>
    <t>Unidad</t>
  </si>
  <si>
    <t>Break AM (02 acompañamientos sólidos y una bebida)</t>
  </si>
  <si>
    <t>Servicio de meseros</t>
  </si>
  <si>
    <t>Global</t>
  </si>
  <si>
    <t>Servicios audiovisuales (Video Beam, telón, sonido básico, micrófono inalámbrico)</t>
  </si>
  <si>
    <t xml:space="preserve">Alquiler sonido profesional </t>
  </si>
  <si>
    <t xml:space="preserve">Alquiler de pantallas de 80 pulgadas o superiores con funcionalidades HDMI </t>
  </si>
  <si>
    <t>Alquiler de micrófonos inalámbricos de mano</t>
  </si>
  <si>
    <t xml:space="preserve">Alquiler de micrófonos cuello ganso </t>
  </si>
  <si>
    <t>Grabación de video con funciones panorámicas, HD o 4k</t>
  </si>
  <si>
    <t xml:space="preserve">Alquiler de láser point  </t>
  </si>
  <si>
    <t>Alquiler de computador portátil (core i7 o equivalente en AMD de Décima o superior Generación 16 gb de RAM y disco duro estado sólido mínimo de 500GB. Windows 10 o superior PRO y Office 2019 o superior.)</t>
  </si>
  <si>
    <t>Internet WIFI mínimo de 10 megas (para organizadores)</t>
  </si>
  <si>
    <t>GL</t>
  </si>
  <si>
    <t xml:space="preserve">Canal dedicado de 40 mb  </t>
  </si>
  <si>
    <t>Cableado y distribución canal dedicado ((10 Puntos de red distribuidos en el salón)</t>
  </si>
  <si>
    <t>Puntos</t>
  </si>
  <si>
    <t xml:space="preserve"> Atril</t>
  </si>
  <si>
    <t xml:space="preserve">COTIZACIÓN 1:         4DEAS                 </t>
  </si>
  <si>
    <t>COTIZACIÓN 3 - LORENA MENDEZ</t>
  </si>
  <si>
    <t>COTIZACIÓN 4 - PUBBLICA</t>
  </si>
  <si>
    <t>VALOR UNITARIO INCLUIDO IVA E IMPUESTOS QUE HAYA LUGAR</t>
  </si>
  <si>
    <t>ANÁLISIS DE VALORES ATÍPICOS</t>
  </si>
  <si>
    <t>ANÁLISIS PROMEDIO</t>
  </si>
  <si>
    <t>ANÁLISIS MEDIA GEOMÉTRICA</t>
  </si>
  <si>
    <t>COT 1</t>
  </si>
  <si>
    <t>COT 2</t>
  </si>
  <si>
    <t>COT 3</t>
  </si>
  <si>
    <t>q1</t>
  </si>
  <si>
    <t>q3</t>
  </si>
  <si>
    <t>RIC</t>
  </si>
  <si>
    <t>Lím Inf</t>
  </si>
  <si>
    <t>Lím Superior</t>
  </si>
  <si>
    <t>PROMEDIO</t>
  </si>
  <si>
    <t>DESVIACIÓN ESTÁNDAR</t>
  </si>
  <si>
    <t>COEFICIENTE DE VARIACIÓN</t>
  </si>
  <si>
    <t>MEDIA GEOMÉTRICA</t>
  </si>
  <si>
    <t>COT 4</t>
  </si>
  <si>
    <t>COT 5</t>
  </si>
  <si>
    <t>COT 6</t>
  </si>
  <si>
    <t>COT 7</t>
  </si>
  <si>
    <t xml:space="preserve">COTIZACIÓN 2:            </t>
  </si>
  <si>
    <t>COTIZACIÓN 5 - EVISUAL</t>
  </si>
  <si>
    <t>CANTIDADES SOLICITADAS</t>
  </si>
  <si>
    <t>COTIZACIÓN 6 - PROSERVARIOS</t>
  </si>
  <si>
    <t>COTIZACIÓN 7 - 911</t>
  </si>
  <si>
    <t>FECHA: 09 DE ENERO 2024</t>
  </si>
  <si>
    <t>PRECIOS HISTORICOS</t>
  </si>
  <si>
    <t>VALOR TOTAL</t>
  </si>
  <si>
    <t xml:space="preserve">  VALOR TOTAL PROMEDIO POR BIEN O SERVICIO</t>
  </si>
  <si>
    <t>AÑO 2023  $23.000.000</t>
  </si>
  <si>
    <t>CON INCREMENTO 2024</t>
  </si>
  <si>
    <t>OS</t>
  </si>
  <si>
    <t>SISTEMA OPERATIVO CentOS 7 COMO Mínimo</t>
  </si>
  <si>
    <t>CPU</t>
  </si>
  <si>
    <t>8 núcleos de CPU</t>
  </si>
  <si>
    <t>RAM</t>
  </si>
  <si>
    <t>64 GB de memoria en RAM</t>
  </si>
  <si>
    <t>ALMACENAMIENTO</t>
  </si>
  <si>
    <t>SSD 2 x 500 gb de almacenamiento y 2 TB de almacenamiento SSD</t>
  </si>
  <si>
    <t>TRANSFERENCIA MENSUAL</t>
  </si>
  <si>
    <t>ILIMITADO</t>
  </si>
  <si>
    <t>SEGURIDAD</t>
  </si>
  <si>
    <t>Sistema anti DDoS garantizando la máxima seguridad en la infraestructura</t>
  </si>
  <si>
    <t>Ancho de Banda Público</t>
  </si>
  <si>
    <t>500 Mbit/s mínimo</t>
  </si>
  <si>
    <t>TIEMPO DE ACTIVIDAD</t>
  </si>
  <si>
    <t>99.90 % MINIMO</t>
  </si>
  <si>
    <t>ADMINISTRACIÓN Y SOPORTE</t>
  </si>
  <si>
    <t>Que incluya administración por cPanel*, permitiendo el control total de la Terminal</t>
  </si>
  <si>
    <t>Direcciones IPV4 e IPV6</t>
  </si>
  <si>
    <t>Deben entregar el servidor con una dirección IPV4 y un rango de direcciones IPV6</t>
  </si>
  <si>
    <t>SSL</t>
  </si>
  <si>
    <t>Con conexión cifrada mediante un certificado de seguridad bajo la norma TLS</t>
  </si>
  <si>
    <t>TOTAL</t>
  </si>
  <si>
    <t>N/A</t>
  </si>
  <si>
    <t xml:space="preserve">Suministrar en arrendamiento un servidor virtual dedicado, mínimo con las siguientes especificaciones técnicas donde estará alojada la página web y la intranet de la Terminal: </t>
  </si>
  <si>
    <t xml:space="preserve">  VALOR UNITARIO SUGERIDO INCLUIDO IVA E IMPUESTOS QUE HAYA LUGAR COMO TECHO A OFERTAR (PROMEDIO)</t>
  </si>
  <si>
    <t>ANEXO No.2 - PROPUESTA ECONÓMICA - SERVICIO DE HOSTING</t>
  </si>
  <si>
    <r>
      <rPr>
        <b/>
        <sz val="11"/>
        <rFont val="Century Gothic"/>
        <family val="2"/>
      </rPr>
      <t xml:space="preserve">NOMBRE DEL PROYECTO: </t>
    </r>
    <r>
      <rPr>
        <sz val="11"/>
        <rFont val="Century Gothic"/>
        <family val="2"/>
      </rPr>
      <t>Servicio de un hosting para el alojamiento, soporte y actualización de las páginas web de la Terminal de Transporte</t>
    </r>
    <r>
      <rPr>
        <b/>
        <sz val="11"/>
        <rFont val="Century Gothic"/>
        <family val="2"/>
      </rPr>
      <t xml:space="preserve">
NOTA 1: </t>
    </r>
    <r>
      <rPr>
        <sz val="11"/>
        <rFont val="Century Gothic"/>
        <family val="2"/>
      </rPr>
      <t>El valor ofertado es a todo costo, por lo que debe leer la Invitación antes de diligenciar el presente Formato de Propuesta Económica.</t>
    </r>
    <r>
      <rPr>
        <b/>
        <sz val="11"/>
        <rFont val="Century Gothic"/>
        <family val="2"/>
      </rPr>
      <t xml:space="preserve">
NOTA 2: </t>
    </r>
    <r>
      <rPr>
        <sz val="11"/>
        <rFont val="Century Gothic"/>
        <family val="2"/>
      </rPr>
      <t>Al diligenciar el Formato de Propuesta Económica, los proponentes deberán ofertar precios unitarios y valores totales ajustados al peso, sin centavos para todos y cada uno de los ítems, los cuales hacen parte de la propuesta. El ajuste al peso se hará de la siguiente manera, ya sea por exceso o por defecto de los precios unitarios, así: cuando la fracción decimal del peso sea igual o superior a 5 se aproxima por exceso y cuando sea inferior a 5 se aproxima por defecto. Los precios unitarios y valores totales para cada ítem deben escribirse en forma legible y sin enmendaduras.</t>
    </r>
    <r>
      <rPr>
        <b/>
        <sz val="11"/>
        <rFont val="Century Gothic"/>
        <family val="2"/>
      </rPr>
      <t xml:space="preserve">
NOTA 3: </t>
    </r>
    <r>
      <rPr>
        <sz val="11"/>
        <rFont val="Century Gothic"/>
        <family val="2"/>
      </rPr>
      <t>La presente oferta se mantendrá por la vigencia de 60 días.</t>
    </r>
  </si>
  <si>
    <t>FIRMA_______________________________________________________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</si>
</sst>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quot;$&quot;\ * #,##0.00_);_(&quot;$&quot;\ * \(#,##0.00\);_(&quot;$&quot;\ * &quot;-&quot;??_);_(@_)"/>
    <numFmt numFmtId="165" formatCode="_(&quot;$&quot;\ * #,##0_);_(&quot;$&quot;\ * \(#,##0\);_(&quot;$&quot;\ * &quot;-&quot;??_);_(@_)"/>
    <numFmt numFmtId="166" formatCode="0.0"/>
    <numFmt numFmtId="167" formatCode="_-[$$-240A]\ * #,##0_-;\-[$$-240A]\ * #,##0_-;_-[$$-240A]\ * &quot;-&quot;??_-;_-@_-"/>
    <numFmt numFmtId="168" formatCode="_-&quot;$&quot;\ * #,##0_-;\-&quot;$&quot;\ * #,##0_-;_-&quot;$&quot;\ * &quot;-&quot;??_-;_-@_-"/>
    <numFmt numFmtId="169" formatCode="_-* #,##0.00\ _€_-;\-* #,##0.00\ _€_-;_-* &quot;-&quot;??\ _€_-;_-@_-"/>
    <numFmt numFmtId="170" formatCode="_-* #,##0_-;\-* #,##0_-;_-* &quot;-&quot;??_-;_-@_-"/>
  </numFmts>
  <fonts count="42" x14ac:knownFonts="1">
    <font>
      <sz val="10"/>
      <name val="Arial"/>
    </font>
    <font>
      <sz val="11"/>
      <color theme="1"/>
      <name val="Calibri"/>
      <family val="2"/>
      <scheme val="minor"/>
    </font>
    <font>
      <sz val="10"/>
      <name val="Arial"/>
      <family val="2"/>
    </font>
    <font>
      <sz val="8"/>
      <name val="Arial"/>
      <family val="2"/>
    </font>
    <font>
      <sz val="10"/>
      <name val="Arial"/>
      <family val="2"/>
    </font>
    <font>
      <sz val="9"/>
      <color indexed="81"/>
      <name val="Tahoma"/>
      <family val="2"/>
    </font>
    <font>
      <b/>
      <sz val="9"/>
      <color indexed="81"/>
      <name val="Tahoma"/>
      <family val="2"/>
    </font>
    <font>
      <sz val="10"/>
      <name val="Calibri"/>
      <family val="2"/>
      <scheme val="minor"/>
    </font>
    <font>
      <b/>
      <sz val="12"/>
      <name val="Calibri"/>
      <family val="2"/>
      <scheme val="minor"/>
    </font>
    <font>
      <b/>
      <sz val="10"/>
      <name val="Calibri"/>
      <family val="2"/>
      <scheme val="minor"/>
    </font>
    <font>
      <sz val="7"/>
      <name val="Calibri"/>
      <family val="2"/>
      <scheme val="minor"/>
    </font>
    <font>
      <b/>
      <sz val="11"/>
      <name val="Calibri"/>
      <family val="2"/>
      <scheme val="minor"/>
    </font>
    <font>
      <b/>
      <sz val="8"/>
      <name val="Calibri"/>
      <family val="2"/>
      <scheme val="minor"/>
    </font>
    <font>
      <sz val="8"/>
      <name val="Calibri"/>
      <family val="2"/>
      <scheme val="minor"/>
    </font>
    <font>
      <b/>
      <sz val="10"/>
      <name val="Arial Narrow"/>
      <family val="2"/>
    </font>
    <font>
      <b/>
      <sz val="12"/>
      <name val="Arial Narrow"/>
      <family val="2"/>
    </font>
    <font>
      <sz val="12"/>
      <name val="Arial Narrow"/>
      <family val="2"/>
    </font>
    <font>
      <sz val="9"/>
      <name val="Arial Narrow"/>
      <family val="2"/>
    </font>
    <font>
      <b/>
      <sz val="11"/>
      <color theme="1"/>
      <name val="Arial Narrow"/>
      <family val="2"/>
    </font>
    <font>
      <i/>
      <u/>
      <sz val="11"/>
      <color theme="1"/>
      <name val="Arial Narrow"/>
      <family val="2"/>
    </font>
    <font>
      <sz val="11"/>
      <color theme="1"/>
      <name val="Arial Narrow"/>
      <family val="2"/>
    </font>
    <font>
      <sz val="11"/>
      <color rgb="FF000000"/>
      <name val="Arial Narrow"/>
      <family val="2"/>
    </font>
    <font>
      <sz val="11"/>
      <name val="Arial Narrow"/>
      <family val="2"/>
    </font>
    <font>
      <sz val="11"/>
      <color rgb="FFFF0000"/>
      <name val="Arial Narrow"/>
      <family val="2"/>
    </font>
    <font>
      <sz val="10"/>
      <name val="Arial"/>
      <family val="2"/>
    </font>
    <font>
      <b/>
      <sz val="7"/>
      <name val="Calibri"/>
      <family val="2"/>
      <scheme val="minor"/>
    </font>
    <font>
      <b/>
      <sz val="10"/>
      <color rgb="FFFF0000"/>
      <name val="Arial Narrow"/>
      <family val="2"/>
    </font>
    <font>
      <b/>
      <sz val="10"/>
      <color rgb="FFFF0000"/>
      <name val="Calibri"/>
      <family val="2"/>
      <scheme val="minor"/>
    </font>
    <font>
      <sz val="10"/>
      <color rgb="FFFF0000"/>
      <name val="Calibri"/>
      <family val="2"/>
      <scheme val="minor"/>
    </font>
    <font>
      <b/>
      <sz val="11"/>
      <color rgb="FFFF0000"/>
      <name val="Calibri"/>
      <family val="2"/>
      <scheme val="minor"/>
    </font>
    <font>
      <sz val="10"/>
      <color theme="1"/>
      <name val="Arial Narrow"/>
      <family val="2"/>
    </font>
    <font>
      <sz val="10"/>
      <color rgb="FFFF0000"/>
      <name val="Arial Narrow"/>
      <family val="2"/>
    </font>
    <font>
      <sz val="10.5"/>
      <color theme="1"/>
      <name val="Century Gothic"/>
      <family val="2"/>
    </font>
    <font>
      <sz val="11"/>
      <name val="Century Gothic"/>
      <family val="2"/>
    </font>
    <font>
      <b/>
      <sz val="11"/>
      <name val="Century Gothic"/>
      <family val="2"/>
    </font>
    <font>
      <sz val="10"/>
      <name val="Century Gothic"/>
      <family val="2"/>
    </font>
    <font>
      <b/>
      <sz val="12"/>
      <name val="Century Gothic"/>
      <family val="2"/>
    </font>
    <font>
      <b/>
      <sz val="10"/>
      <name val="Century Gothic"/>
      <family val="2"/>
    </font>
    <font>
      <sz val="7"/>
      <name val="Century Gothic"/>
      <family val="2"/>
    </font>
    <font>
      <b/>
      <sz val="11"/>
      <color theme="1"/>
      <name val="Century Gothic"/>
      <family val="2"/>
    </font>
    <font>
      <sz val="11"/>
      <color rgb="FF000000"/>
      <name val="Century Gothic"/>
      <family val="2"/>
    </font>
    <font>
      <sz val="10"/>
      <color theme="1"/>
      <name val="Century Gothic"/>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xf numFmtId="43" fontId="2" fillId="0" borderId="0" applyFont="0" applyFill="0" applyBorder="0" applyAlignment="0" applyProtection="0"/>
    <xf numFmtId="164" fontId="4" fillId="0" borderId="0" applyFont="0" applyFill="0" applyBorder="0" applyAlignment="0" applyProtection="0"/>
    <xf numFmtId="169" fontId="1" fillId="0" borderId="0" applyFont="0" applyFill="0" applyBorder="0" applyAlignment="0" applyProtection="0"/>
    <xf numFmtId="9" fontId="24" fillId="0" borderId="0" applyFont="0" applyFill="0" applyBorder="0" applyAlignment="0" applyProtection="0"/>
  </cellStyleXfs>
  <cellXfs count="224">
    <xf numFmtId="0" fontId="0" fillId="0" borderId="0" xfId="0"/>
    <xf numFmtId="0" fontId="7" fillId="0" borderId="0" xfId="0" applyFont="1"/>
    <xf numFmtId="0" fontId="7" fillId="0" borderId="0" xfId="0" applyFont="1" applyAlignment="1">
      <alignment vertical="center"/>
    </xf>
    <xf numFmtId="0" fontId="10" fillId="0" borderId="0" xfId="0" applyFont="1"/>
    <xf numFmtId="0" fontId="7" fillId="0" borderId="0" xfId="0" applyFont="1" applyAlignment="1">
      <alignment horizontal="center"/>
    </xf>
    <xf numFmtId="0" fontId="11" fillId="0" borderId="0" xfId="0" applyFont="1" applyAlignment="1">
      <alignment horizontal="right"/>
    </xf>
    <xf numFmtId="0" fontId="7" fillId="0" borderId="0" xfId="0" applyFont="1" applyAlignment="1">
      <alignment horizontal="left" wrapText="1"/>
    </xf>
    <xf numFmtId="0" fontId="9" fillId="0" borderId="0" xfId="0" applyFont="1" applyAlignment="1">
      <alignment horizontal="left" vertical="center"/>
    </xf>
    <xf numFmtId="0" fontId="14" fillId="2" borderId="1" xfId="0" applyFont="1" applyFill="1" applyBorder="1" applyAlignment="1">
      <alignment vertical="center"/>
    </xf>
    <xf numFmtId="0" fontId="14" fillId="2" borderId="1" xfId="0" applyFont="1" applyFill="1" applyBorder="1" applyAlignment="1">
      <alignment horizontal="center" vertical="center" wrapText="1"/>
    </xf>
    <xf numFmtId="0" fontId="21" fillId="3" borderId="1" xfId="0" applyFont="1" applyFill="1" applyBorder="1" applyAlignment="1">
      <alignment horizontal="justify" vertical="center" wrapText="1"/>
    </xf>
    <xf numFmtId="0" fontId="21" fillId="3" borderId="1"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9" fillId="0" borderId="0" xfId="0" applyFont="1" applyAlignment="1">
      <alignment horizontal="center" vertical="center"/>
    </xf>
    <xf numFmtId="0" fontId="7" fillId="0" borderId="0" xfId="0" applyFont="1" applyAlignment="1">
      <alignment horizontal="center" vertical="center"/>
    </xf>
    <xf numFmtId="0" fontId="11" fillId="0" borderId="0" xfId="0" applyFont="1" applyAlignment="1">
      <alignment horizontal="center" vertical="center"/>
    </xf>
    <xf numFmtId="0" fontId="7" fillId="0" borderId="0" xfId="0" applyFont="1" applyAlignment="1">
      <alignment horizontal="center" vertical="center" wrapText="1"/>
    </xf>
    <xf numFmtId="165" fontId="20" fillId="3" borderId="1" xfId="2" applyNumberFormat="1" applyFont="1" applyFill="1" applyBorder="1" applyAlignment="1">
      <alignment horizontal="center" vertical="center" wrapText="1"/>
    </xf>
    <xf numFmtId="165" fontId="22" fillId="3" borderId="1" xfId="2" applyNumberFormat="1" applyFont="1" applyFill="1" applyBorder="1" applyAlignment="1">
      <alignment horizontal="center" vertical="center" wrapText="1"/>
    </xf>
    <xf numFmtId="165" fontId="16" fillId="3" borderId="0" xfId="2" applyNumberFormat="1" applyFont="1" applyFill="1" applyAlignment="1">
      <alignment horizontal="left" wrapText="1"/>
    </xf>
    <xf numFmtId="165" fontId="7" fillId="3" borderId="0" xfId="2" applyNumberFormat="1" applyFont="1" applyFill="1"/>
    <xf numFmtId="165" fontId="7" fillId="3" borderId="0" xfId="2" applyNumberFormat="1" applyFont="1" applyFill="1" applyAlignment="1">
      <alignment horizontal="left" vertical="center"/>
    </xf>
    <xf numFmtId="165" fontId="14" fillId="2" borderId="1" xfId="2" applyNumberFormat="1" applyFont="1" applyFill="1" applyBorder="1" applyAlignment="1">
      <alignment horizontal="center" vertical="center" wrapText="1"/>
    </xf>
    <xf numFmtId="165" fontId="9" fillId="0" borderId="0" xfId="2" applyNumberFormat="1" applyFont="1" applyAlignment="1">
      <alignment horizontal="left" vertical="center"/>
    </xf>
    <xf numFmtId="165" fontId="7" fillId="0" borderId="0" xfId="2" applyNumberFormat="1" applyFont="1"/>
    <xf numFmtId="165" fontId="16" fillId="0" borderId="0" xfId="2" applyNumberFormat="1" applyFont="1"/>
    <xf numFmtId="165" fontId="23" fillId="3" borderId="1" xfId="2" applyNumberFormat="1" applyFont="1" applyFill="1" applyBorder="1" applyAlignment="1">
      <alignment horizontal="center" vertical="center" wrapText="1"/>
    </xf>
    <xf numFmtId="165" fontId="9" fillId="0" borderId="0" xfId="0" applyNumberFormat="1" applyFont="1" applyAlignment="1">
      <alignment horizontal="left" vertical="center"/>
    </xf>
    <xf numFmtId="165" fontId="7" fillId="0" borderId="0" xfId="0" applyNumberFormat="1" applyFont="1"/>
    <xf numFmtId="165" fontId="16" fillId="0" borderId="0" xfId="0" applyNumberFormat="1" applyFont="1" applyAlignment="1">
      <alignment horizontal="center"/>
    </xf>
    <xf numFmtId="165" fontId="9" fillId="3" borderId="0" xfId="0" applyNumberFormat="1" applyFont="1" applyFill="1" applyAlignment="1">
      <alignment horizontal="left" vertical="center"/>
    </xf>
    <xf numFmtId="165" fontId="7" fillId="3" borderId="0" xfId="0" applyNumberFormat="1" applyFont="1" applyFill="1"/>
    <xf numFmtId="165" fontId="15" fillId="3" borderId="0" xfId="0" applyNumberFormat="1" applyFont="1" applyFill="1" applyAlignment="1">
      <alignment horizontal="center"/>
    </xf>
    <xf numFmtId="165" fontId="16" fillId="3" borderId="0" xfId="0" applyNumberFormat="1" applyFont="1" applyFill="1" applyAlignment="1">
      <alignment horizontal="center"/>
    </xf>
    <xf numFmtId="165" fontId="16" fillId="3" borderId="0" xfId="0" applyNumberFormat="1" applyFont="1" applyFill="1"/>
    <xf numFmtId="164" fontId="10" fillId="0" borderId="0" xfId="2" applyFont="1"/>
    <xf numFmtId="0" fontId="7" fillId="3" borderId="0" xfId="0" applyFont="1" applyFill="1"/>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43" fontId="0" fillId="0" borderId="0" xfId="1" applyFont="1" applyAlignment="1">
      <alignment vertical="center"/>
    </xf>
    <xf numFmtId="43" fontId="0" fillId="0" borderId="0" xfId="0" applyNumberFormat="1" applyAlignment="1">
      <alignment vertical="center"/>
    </xf>
    <xf numFmtId="168" fontId="0" fillId="0" borderId="0" xfId="0" applyNumberFormat="1" applyAlignment="1">
      <alignment vertical="center"/>
    </xf>
    <xf numFmtId="9" fontId="0" fillId="0" borderId="0" xfId="4" applyFont="1" applyAlignment="1">
      <alignment horizontal="center" vertical="center"/>
    </xf>
    <xf numFmtId="43" fontId="0" fillId="3" borderId="0" xfId="0" applyNumberFormat="1" applyFill="1" applyAlignment="1">
      <alignment vertical="center"/>
    </xf>
    <xf numFmtId="9" fontId="22" fillId="3" borderId="1" xfId="4" applyFont="1" applyFill="1" applyBorder="1" applyAlignment="1">
      <alignment horizontal="center" vertical="center" wrapText="1"/>
    </xf>
    <xf numFmtId="9" fontId="7" fillId="0" borderId="0" xfId="4" applyFont="1"/>
    <xf numFmtId="9" fontId="7" fillId="0" borderId="0" xfId="4" applyFont="1" applyAlignment="1">
      <alignment vertical="center"/>
    </xf>
    <xf numFmtId="9" fontId="10" fillId="0" borderId="0" xfId="4" applyFont="1"/>
    <xf numFmtId="9" fontId="25" fillId="0" borderId="1" xfId="4" applyFont="1" applyBorder="1" applyAlignment="1">
      <alignment horizontal="center" vertical="center" wrapText="1"/>
    </xf>
    <xf numFmtId="165" fontId="22" fillId="4" borderId="1" xfId="2" applyNumberFormat="1" applyFont="1" applyFill="1" applyBorder="1" applyAlignment="1">
      <alignment horizontal="center" vertical="center" wrapText="1"/>
    </xf>
    <xf numFmtId="0" fontId="25" fillId="0" borderId="3" xfId="0" applyFont="1" applyBorder="1" applyAlignment="1">
      <alignment horizontal="center" vertical="center"/>
    </xf>
    <xf numFmtId="165" fontId="22" fillId="3" borderId="3" xfId="2" applyNumberFormat="1" applyFont="1" applyFill="1" applyBorder="1" applyAlignment="1">
      <alignment horizontal="center" vertical="center" wrapText="1"/>
    </xf>
    <xf numFmtId="0" fontId="25" fillId="0" borderId="17" xfId="0" applyFont="1" applyBorder="1" applyAlignment="1">
      <alignment horizontal="center" vertical="center"/>
    </xf>
    <xf numFmtId="0" fontId="25" fillId="0" borderId="16" xfId="0" applyFont="1" applyBorder="1" applyAlignment="1">
      <alignment horizontal="center" vertical="center"/>
    </xf>
    <xf numFmtId="0" fontId="25" fillId="0" borderId="18" xfId="0" applyFont="1" applyBorder="1" applyAlignment="1">
      <alignment horizontal="center" vertical="center"/>
    </xf>
    <xf numFmtId="165" fontId="22" fillId="3" borderId="19" xfId="2" applyNumberFormat="1" applyFont="1" applyFill="1" applyBorder="1" applyAlignment="1">
      <alignment horizontal="center" vertical="center" wrapText="1"/>
    </xf>
    <xf numFmtId="165" fontId="22" fillId="3" borderId="20" xfId="2" applyNumberFormat="1" applyFont="1" applyFill="1" applyBorder="1" applyAlignment="1">
      <alignment horizontal="center" vertical="center" wrapText="1"/>
    </xf>
    <xf numFmtId="0" fontId="7" fillId="3" borderId="0" xfId="0" applyFont="1" applyFill="1" applyAlignment="1">
      <alignment vertical="center"/>
    </xf>
    <xf numFmtId="0" fontId="10" fillId="3" borderId="0" xfId="0" applyFont="1" applyFill="1"/>
    <xf numFmtId="0" fontId="25" fillId="3" borderId="1" xfId="0" applyFont="1" applyFill="1" applyBorder="1" applyAlignment="1">
      <alignment horizontal="center" vertical="center" wrapText="1"/>
    </xf>
    <xf numFmtId="170" fontId="0" fillId="3" borderId="0" xfId="1" applyNumberFormat="1" applyFont="1" applyFill="1" applyAlignment="1">
      <alignment vertical="center"/>
    </xf>
    <xf numFmtId="165" fontId="23" fillId="4" borderId="9" xfId="2" applyNumberFormat="1" applyFont="1" applyFill="1" applyBorder="1" applyAlignment="1">
      <alignment horizontal="center" vertical="center" wrapText="1"/>
    </xf>
    <xf numFmtId="165" fontId="23" fillId="4" borderId="1" xfId="2" applyNumberFormat="1" applyFont="1" applyFill="1" applyBorder="1" applyAlignment="1">
      <alignment horizontal="center" vertical="center" wrapText="1"/>
    </xf>
    <xf numFmtId="9" fontId="22" fillId="4" borderId="1" xfId="4" applyFont="1" applyFill="1" applyBorder="1" applyAlignment="1">
      <alignment horizontal="center" vertical="center" wrapText="1"/>
    </xf>
    <xf numFmtId="165" fontId="26" fillId="2" borderId="1" xfId="2" applyNumberFormat="1" applyFont="1" applyFill="1" applyBorder="1" applyAlignment="1">
      <alignment horizontal="center" vertical="center"/>
    </xf>
    <xf numFmtId="165" fontId="26" fillId="2" borderId="2" xfId="2" applyNumberFormat="1" applyFont="1" applyFill="1" applyBorder="1" applyAlignment="1">
      <alignment horizontal="center" vertical="center"/>
    </xf>
    <xf numFmtId="165" fontId="26" fillId="2" borderId="3" xfId="2" applyNumberFormat="1" applyFont="1" applyFill="1" applyBorder="1" applyAlignment="1">
      <alignment horizontal="center" vertical="center"/>
    </xf>
    <xf numFmtId="165" fontId="27" fillId="0" borderId="0" xfId="2" applyNumberFormat="1" applyFont="1" applyAlignment="1">
      <alignment horizontal="left" vertical="center"/>
    </xf>
    <xf numFmtId="165" fontId="28" fillId="0" borderId="0" xfId="2" applyNumberFormat="1" applyFont="1"/>
    <xf numFmtId="165" fontId="29" fillId="0" borderId="0" xfId="2" applyNumberFormat="1" applyFont="1" applyAlignment="1">
      <alignment horizontal="right"/>
    </xf>
    <xf numFmtId="165" fontId="28" fillId="0" borderId="0" xfId="2" applyNumberFormat="1" applyFont="1" applyAlignment="1">
      <alignment horizontal="left" wrapText="1"/>
    </xf>
    <xf numFmtId="165" fontId="22" fillId="5" borderId="1" xfId="2" applyNumberFormat="1" applyFont="1" applyFill="1" applyBorder="1" applyAlignment="1">
      <alignment horizontal="center" vertical="center" wrapText="1"/>
    </xf>
    <xf numFmtId="165" fontId="23" fillId="5" borderId="1" xfId="2" applyNumberFormat="1" applyFont="1" applyFill="1" applyBorder="1" applyAlignment="1">
      <alignment horizontal="center" vertical="center" wrapText="1"/>
    </xf>
    <xf numFmtId="0" fontId="14" fillId="2" borderId="1" xfId="0" applyFont="1" applyFill="1" applyBorder="1" applyAlignment="1">
      <alignment horizontal="center" vertical="center"/>
    </xf>
    <xf numFmtId="165" fontId="20" fillId="3" borderId="9" xfId="2" applyNumberFormat="1" applyFont="1" applyFill="1" applyBorder="1" applyAlignment="1">
      <alignment horizontal="center" vertical="center" wrapText="1"/>
    </xf>
    <xf numFmtId="165" fontId="20" fillId="3" borderId="14" xfId="2" applyNumberFormat="1" applyFont="1" applyFill="1" applyBorder="1" applyAlignment="1">
      <alignment horizontal="center" vertical="center" wrapText="1"/>
    </xf>
    <xf numFmtId="165" fontId="20" fillId="3" borderId="13" xfId="2" applyNumberFormat="1" applyFont="1" applyFill="1" applyBorder="1" applyAlignment="1">
      <alignment horizontal="center" vertical="center" wrapText="1"/>
    </xf>
    <xf numFmtId="167" fontId="16" fillId="0" borderId="3" xfId="2" applyNumberFormat="1" applyFont="1" applyBorder="1" applyAlignment="1">
      <alignment horizontal="center" vertical="center"/>
    </xf>
    <xf numFmtId="0" fontId="16" fillId="0" borderId="0" xfId="0" applyFont="1" applyAlignment="1">
      <alignment horizontal="center"/>
    </xf>
    <xf numFmtId="0" fontId="17" fillId="0" borderId="0" xfId="0" applyFont="1" applyAlignment="1">
      <alignment horizontal="left" vertical="center"/>
    </xf>
    <xf numFmtId="0" fontId="15" fillId="0" borderId="0" xfId="0" applyFont="1" applyAlignment="1">
      <alignment horizontal="center"/>
    </xf>
    <xf numFmtId="165" fontId="10" fillId="0" borderId="0" xfId="0" applyNumberFormat="1" applyFont="1"/>
    <xf numFmtId="165" fontId="20" fillId="4" borderId="1" xfId="2" applyNumberFormat="1" applyFont="1" applyFill="1" applyBorder="1" applyAlignment="1">
      <alignment horizontal="center" vertical="center" wrapText="1"/>
    </xf>
    <xf numFmtId="0" fontId="8" fillId="0" borderId="15" xfId="0" applyFont="1" applyBorder="1" applyAlignment="1">
      <alignment horizontal="center" vertical="center" wrapText="1"/>
    </xf>
    <xf numFmtId="0" fontId="8" fillId="0" borderId="5" xfId="0" applyFont="1" applyBorder="1" applyAlignment="1">
      <alignment horizontal="center" vertical="center" wrapText="1"/>
    </xf>
    <xf numFmtId="0" fontId="7" fillId="0" borderId="1" xfId="0" applyFont="1" applyBorder="1" applyAlignment="1">
      <alignment vertical="center" wrapText="1"/>
    </xf>
    <xf numFmtId="0" fontId="7" fillId="0" borderId="4" xfId="0" applyFont="1" applyBorder="1" applyAlignment="1">
      <alignment horizontal="center" vertical="center" wrapText="1"/>
    </xf>
    <xf numFmtId="3" fontId="15" fillId="0" borderId="0" xfId="0" applyNumberFormat="1" applyFont="1"/>
    <xf numFmtId="166" fontId="15" fillId="2" borderId="1" xfId="2" applyNumberFormat="1" applyFont="1" applyFill="1" applyBorder="1" applyAlignment="1">
      <alignment vertical="center"/>
    </xf>
    <xf numFmtId="0" fontId="7" fillId="0" borderId="2" xfId="0" applyFont="1" applyBorder="1" applyAlignment="1">
      <alignment vertical="center" wrapText="1"/>
    </xf>
    <xf numFmtId="0" fontId="15" fillId="2" borderId="0" xfId="0" applyFont="1" applyFill="1" applyAlignment="1">
      <alignment horizontal="center" vertical="center" wrapText="1"/>
    </xf>
    <xf numFmtId="0" fontId="15" fillId="0" borderId="4" xfId="0" applyFont="1" applyBorder="1" applyAlignment="1">
      <alignment horizontal="left" vertical="center"/>
    </xf>
    <xf numFmtId="165" fontId="22" fillId="3" borderId="14" xfId="2" applyNumberFormat="1" applyFont="1" applyFill="1" applyBorder="1" applyAlignment="1">
      <alignment horizontal="center" vertical="center" wrapText="1"/>
    </xf>
    <xf numFmtId="165" fontId="22" fillId="3" borderId="0" xfId="2" applyNumberFormat="1" applyFont="1" applyFill="1" applyBorder="1" applyAlignment="1">
      <alignment horizontal="center" vertical="center" wrapText="1"/>
    </xf>
    <xf numFmtId="9" fontId="22" fillId="3" borderId="0" xfId="4" applyFont="1" applyFill="1" applyBorder="1" applyAlignment="1">
      <alignment horizontal="center" vertical="center" wrapText="1"/>
    </xf>
    <xf numFmtId="166" fontId="15" fillId="2" borderId="3" xfId="2" applyNumberFormat="1" applyFont="1" applyFill="1" applyBorder="1" applyAlignment="1">
      <alignment vertical="center"/>
    </xf>
    <xf numFmtId="0" fontId="9" fillId="0" borderId="0" xfId="0" applyFont="1"/>
    <xf numFmtId="0" fontId="18" fillId="2" borderId="1" xfId="0" applyFont="1" applyFill="1" applyBorder="1" applyAlignment="1">
      <alignment horizontal="center" vertical="center" textRotation="90"/>
    </xf>
    <xf numFmtId="0" fontId="20" fillId="2" borderId="14" xfId="0" applyFont="1" applyFill="1" applyBorder="1" applyAlignment="1">
      <alignment horizontal="center" vertical="center"/>
    </xf>
    <xf numFmtId="0" fontId="18" fillId="2" borderId="14" xfId="0" applyFont="1" applyFill="1" applyBorder="1" applyAlignment="1">
      <alignment horizontal="center" vertical="center" wrapText="1"/>
    </xf>
    <xf numFmtId="0" fontId="21" fillId="2" borderId="1" xfId="0" applyFont="1" applyFill="1" applyBorder="1" applyAlignment="1">
      <alignment horizontal="justify" vertical="center" wrapText="1"/>
    </xf>
    <xf numFmtId="0" fontId="21" fillId="2" borderId="1" xfId="0" applyFont="1" applyFill="1" applyBorder="1" applyAlignment="1">
      <alignment horizontal="center" vertical="center" wrapText="1"/>
    </xf>
    <xf numFmtId="165" fontId="22" fillId="2" borderId="1" xfId="2" applyNumberFormat="1" applyFont="1" applyFill="1" applyBorder="1" applyAlignment="1">
      <alignment horizontal="center" vertical="center" wrapText="1"/>
    </xf>
    <xf numFmtId="165" fontId="20" fillId="2" borderId="1" xfId="2" applyNumberFormat="1" applyFont="1" applyFill="1" applyBorder="1" applyAlignment="1">
      <alignment horizontal="center" vertical="center" wrapText="1"/>
    </xf>
    <xf numFmtId="165" fontId="30" fillId="2" borderId="1" xfId="2" applyNumberFormat="1" applyFont="1" applyFill="1" applyBorder="1" applyAlignment="1">
      <alignment horizontal="center" vertical="center" wrapText="1"/>
    </xf>
    <xf numFmtId="0" fontId="15" fillId="0" borderId="0" xfId="0" applyFont="1" applyAlignment="1">
      <alignment horizontal="left" vertical="center"/>
    </xf>
    <xf numFmtId="0" fontId="15" fillId="0" borderId="0" xfId="0" applyFont="1" applyAlignment="1">
      <alignment horizontal="center" vertical="center"/>
    </xf>
    <xf numFmtId="0" fontId="14" fillId="2" borderId="0" xfId="0" applyFont="1" applyFill="1" applyAlignment="1">
      <alignment horizontal="center" vertical="center" wrapText="1"/>
    </xf>
    <xf numFmtId="167" fontId="16" fillId="0" borderId="0" xfId="2" applyNumberFormat="1" applyFont="1" applyBorder="1" applyAlignment="1">
      <alignment horizontal="center" vertical="center"/>
    </xf>
    <xf numFmtId="0" fontId="12" fillId="0" borderId="0" xfId="0" applyFont="1" applyAlignment="1">
      <alignment horizontal="justify" vertical="top" wrapText="1"/>
    </xf>
    <xf numFmtId="0" fontId="20" fillId="3" borderId="14" xfId="0" applyFont="1" applyFill="1" applyBorder="1" applyAlignment="1">
      <alignment vertical="center"/>
    </xf>
    <xf numFmtId="0" fontId="30" fillId="3" borderId="14" xfId="2" applyNumberFormat="1" applyFont="1" applyFill="1" applyBorder="1" applyAlignment="1">
      <alignment horizontal="center" vertical="center" wrapText="1"/>
    </xf>
    <xf numFmtId="0" fontId="30" fillId="3" borderId="1" xfId="2" applyNumberFormat="1" applyFont="1" applyFill="1" applyBorder="1" applyAlignment="1">
      <alignment horizontal="center" vertical="center" wrapText="1"/>
    </xf>
    <xf numFmtId="0" fontId="31" fillId="3" borderId="1" xfId="2" applyNumberFormat="1" applyFont="1" applyFill="1" applyBorder="1" applyAlignment="1">
      <alignment horizontal="center" vertical="center" wrapText="1"/>
    </xf>
    <xf numFmtId="0" fontId="16" fillId="0" borderId="0" xfId="0" applyFont="1"/>
    <xf numFmtId="0" fontId="32" fillId="0" borderId="1" xfId="0" applyFont="1" applyBorder="1" applyAlignment="1">
      <alignment horizontal="center" vertical="center" wrapText="1"/>
    </xf>
    <xf numFmtId="0" fontId="35" fillId="0" borderId="0" xfId="0" applyFont="1"/>
    <xf numFmtId="0" fontId="35" fillId="0" borderId="0" xfId="0" applyFont="1" applyAlignment="1">
      <alignment vertical="center"/>
    </xf>
    <xf numFmtId="0" fontId="35" fillId="3" borderId="0" xfId="0" applyFont="1" applyFill="1" applyAlignment="1">
      <alignment vertical="center"/>
    </xf>
    <xf numFmtId="0" fontId="38" fillId="0" borderId="0" xfId="0" applyFont="1"/>
    <xf numFmtId="0" fontId="36" fillId="3" borderId="15" xfId="0" applyFont="1" applyFill="1" applyBorder="1" applyAlignment="1">
      <alignment horizontal="center" vertical="center" wrapText="1"/>
    </xf>
    <xf numFmtId="165" fontId="36" fillId="3" borderId="15" xfId="2" applyNumberFormat="1" applyFont="1" applyFill="1" applyBorder="1" applyAlignment="1">
      <alignment horizontal="center" vertical="center"/>
    </xf>
    <xf numFmtId="0" fontId="35" fillId="0" borderId="0" xfId="0" applyFont="1" applyAlignment="1">
      <alignment horizontal="center" vertical="center"/>
    </xf>
    <xf numFmtId="165" fontId="35" fillId="0" borderId="0" xfId="0" applyNumberFormat="1" applyFont="1"/>
    <xf numFmtId="0" fontId="35" fillId="0" borderId="0" xfId="0" applyFont="1" applyAlignment="1">
      <alignment horizontal="center" wrapText="1"/>
    </xf>
    <xf numFmtId="166" fontId="36" fillId="3" borderId="0" xfId="2" applyNumberFormat="1" applyFont="1" applyFill="1" applyBorder="1" applyAlignment="1">
      <alignment horizontal="center" vertical="center"/>
    </xf>
    <xf numFmtId="0" fontId="37" fillId="2" borderId="1" xfId="0" applyFont="1" applyFill="1" applyBorder="1" applyAlignment="1">
      <alignment horizontal="center" vertical="center"/>
    </xf>
    <xf numFmtId="0" fontId="17" fillId="0" borderId="0" xfId="0" applyFont="1" applyAlignment="1">
      <alignment horizontal="left" vertical="center"/>
    </xf>
    <xf numFmtId="0" fontId="12" fillId="0" borderId="5" xfId="0" applyFont="1" applyBorder="1" applyAlignment="1">
      <alignment horizontal="justify" vertical="top" wrapText="1"/>
    </xf>
    <xf numFmtId="165" fontId="26" fillId="2" borderId="2" xfId="2" applyNumberFormat="1" applyFont="1" applyFill="1" applyBorder="1" applyAlignment="1">
      <alignment horizontal="center" vertical="center"/>
    </xf>
    <xf numFmtId="165" fontId="26" fillId="2" borderId="3" xfId="2" applyNumberFormat="1"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shrinkToFit="1"/>
    </xf>
    <xf numFmtId="0" fontId="14" fillId="2" borderId="3" xfId="0" applyFont="1" applyFill="1" applyBorder="1" applyAlignment="1">
      <alignment horizontal="center" vertical="center" wrapText="1" shrinkToFit="1"/>
    </xf>
    <xf numFmtId="0" fontId="7" fillId="0" borderId="0" xfId="0" applyFont="1" applyAlignment="1">
      <alignment horizontal="left" wrapText="1"/>
    </xf>
    <xf numFmtId="0" fontId="16" fillId="0" borderId="0" xfId="0" applyFont="1" applyAlignment="1">
      <alignment horizontal="center"/>
    </xf>
    <xf numFmtId="165" fontId="29" fillId="0" borderId="0" xfId="2" applyNumberFormat="1" applyFont="1" applyAlignment="1">
      <alignment horizontal="center"/>
    </xf>
    <xf numFmtId="165" fontId="16" fillId="0" borderId="0" xfId="0" applyNumberFormat="1" applyFont="1" applyAlignment="1">
      <alignment horizontal="center"/>
    </xf>
    <xf numFmtId="0" fontId="11" fillId="0" borderId="0" xfId="0" applyFont="1" applyAlignment="1">
      <alignment horizontal="center"/>
    </xf>
    <xf numFmtId="0" fontId="15" fillId="2" borderId="1" xfId="0" applyFont="1" applyFill="1" applyBorder="1" applyAlignment="1">
      <alignment horizontal="center" vertical="center" wrapText="1"/>
    </xf>
    <xf numFmtId="0" fontId="25"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18" fillId="3" borderId="14" xfId="0" applyFont="1" applyFill="1" applyBorder="1" applyAlignment="1">
      <alignment horizontal="center" vertical="center" textRotation="90" wrapText="1"/>
    </xf>
    <xf numFmtId="0" fontId="18" fillId="3" borderId="1" xfId="0" applyFont="1" applyFill="1" applyBorder="1" applyAlignment="1">
      <alignment horizontal="center" vertical="center" textRotation="90"/>
    </xf>
    <xf numFmtId="0" fontId="20" fillId="3" borderId="13" xfId="0" applyFont="1" applyFill="1" applyBorder="1" applyAlignment="1">
      <alignment horizontal="center" vertical="center"/>
    </xf>
    <xf numFmtId="0" fontId="20" fillId="3" borderId="14" xfId="0" applyFont="1" applyFill="1" applyBorder="1" applyAlignment="1">
      <alignment horizontal="center" vertical="center"/>
    </xf>
    <xf numFmtId="0" fontId="18" fillId="3" borderId="13" xfId="0" applyFont="1" applyFill="1" applyBorder="1" applyAlignment="1">
      <alignment horizontal="center" vertical="center" wrapText="1"/>
    </xf>
    <xf numFmtId="0" fontId="18" fillId="3" borderId="14" xfId="0" applyFont="1" applyFill="1" applyBorder="1" applyAlignment="1">
      <alignment horizontal="center" vertical="center" wrapText="1"/>
    </xf>
    <xf numFmtId="165" fontId="14" fillId="2" borderId="2" xfId="0" applyNumberFormat="1" applyFont="1" applyFill="1" applyBorder="1" applyAlignment="1">
      <alignment horizontal="center" vertical="center" wrapText="1"/>
    </xf>
    <xf numFmtId="165" fontId="14" fillId="2" borderId="3"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25" fillId="2" borderId="9" xfId="0" applyFont="1" applyFill="1" applyBorder="1" applyAlignment="1">
      <alignment horizontal="center"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4" xfId="0" applyFont="1" applyBorder="1" applyAlignment="1">
      <alignment horizontal="left" vertical="center"/>
    </xf>
    <xf numFmtId="0" fontId="15" fillId="0" borderId="3" xfId="0" applyFont="1" applyBorder="1" applyAlignment="1">
      <alignment horizontal="left" vertical="center"/>
    </xf>
    <xf numFmtId="165" fontId="15" fillId="0" borderId="2" xfId="0" applyNumberFormat="1" applyFont="1" applyBorder="1" applyAlignment="1">
      <alignment horizontal="center" vertical="center"/>
    </xf>
    <xf numFmtId="165" fontId="15" fillId="0" borderId="4" xfId="0" applyNumberFormat="1" applyFont="1" applyBorder="1" applyAlignment="1">
      <alignment horizontal="center" vertical="center"/>
    </xf>
    <xf numFmtId="165" fontId="15" fillId="0" borderId="3" xfId="0" applyNumberFormat="1" applyFont="1" applyBorder="1" applyAlignment="1">
      <alignment horizontal="center" vertical="center"/>
    </xf>
    <xf numFmtId="0" fontId="15" fillId="0" borderId="6" xfId="0" applyFont="1" applyBorder="1" applyAlignment="1">
      <alignment horizontal="center" vertical="center"/>
    </xf>
    <xf numFmtId="0" fontId="15" fillId="0" borderId="15" xfId="0" applyFont="1" applyBorder="1" applyAlignment="1">
      <alignment horizontal="center" vertical="center"/>
    </xf>
    <xf numFmtId="0" fontId="15" fillId="0" borderId="10" xfId="0" applyFont="1" applyBorder="1" applyAlignment="1">
      <alignment horizontal="center" vertical="center"/>
    </xf>
    <xf numFmtId="0" fontId="15" fillId="0" borderId="8" xfId="0" applyFont="1" applyBorder="1" applyAlignment="1">
      <alignment horizontal="center" vertical="center"/>
    </xf>
    <xf numFmtId="0" fontId="15" fillId="0" borderId="5" xfId="0" applyFont="1" applyBorder="1" applyAlignment="1">
      <alignment horizontal="center" vertical="center"/>
    </xf>
    <xf numFmtId="0" fontId="15" fillId="0" borderId="12" xfId="0" applyFont="1" applyBorder="1" applyAlignment="1">
      <alignment horizontal="center" vertical="center"/>
    </xf>
    <xf numFmtId="0" fontId="7" fillId="0" borderId="6" xfId="0" applyFont="1" applyBorder="1" applyAlignment="1">
      <alignment horizontal="center"/>
    </xf>
    <xf numFmtId="0" fontId="7" fillId="0" borderId="10" xfId="0" applyFont="1" applyBorder="1" applyAlignment="1">
      <alignment horizontal="center"/>
    </xf>
    <xf numFmtId="0" fontId="7" fillId="0" borderId="7" xfId="0" applyFont="1" applyBorder="1" applyAlignment="1">
      <alignment horizontal="center"/>
    </xf>
    <xf numFmtId="0" fontId="7" fillId="0" borderId="11" xfId="0" applyFont="1" applyBorder="1" applyAlignment="1">
      <alignment horizontal="center"/>
    </xf>
    <xf numFmtId="0" fontId="7" fillId="0" borderId="8" xfId="0" applyFont="1" applyBorder="1" applyAlignment="1">
      <alignment horizontal="center"/>
    </xf>
    <xf numFmtId="0" fontId="7" fillId="0" borderId="12" xfId="0" applyFont="1" applyBorder="1" applyAlignment="1">
      <alignment horizontal="center"/>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7" fillId="0" borderId="0" xfId="0" applyFont="1" applyAlignment="1">
      <alignment horizont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37" fillId="2" borderId="1" xfId="0" applyFont="1" applyFill="1" applyBorder="1" applyAlignment="1">
      <alignment horizontal="center" vertical="center" wrapText="1"/>
    </xf>
    <xf numFmtId="165" fontId="40" fillId="3" borderId="9" xfId="2" applyNumberFormat="1" applyFont="1" applyFill="1" applyBorder="1" applyAlignment="1">
      <alignment horizontal="center" vertical="center" wrapText="1"/>
    </xf>
    <xf numFmtId="165" fontId="40" fillId="3" borderId="13" xfId="2" applyNumberFormat="1" applyFont="1" applyFill="1" applyBorder="1" applyAlignment="1">
      <alignment horizontal="center" vertical="center" wrapText="1"/>
    </xf>
    <xf numFmtId="165" fontId="40" fillId="3" borderId="14" xfId="2" applyNumberFormat="1" applyFont="1" applyFill="1" applyBorder="1" applyAlignment="1">
      <alignment horizontal="center" vertical="center" wrapText="1"/>
    </xf>
    <xf numFmtId="0" fontId="36" fillId="0" borderId="1" xfId="0" applyFont="1" applyBorder="1" applyAlignment="1">
      <alignment horizontal="left" vertical="center"/>
    </xf>
    <xf numFmtId="0" fontId="37" fillId="2" borderId="4" xfId="0" applyFont="1" applyFill="1" applyBorder="1" applyAlignment="1">
      <alignment horizontal="center" vertical="center"/>
    </xf>
    <xf numFmtId="0" fontId="37" fillId="2" borderId="3" xfId="0" applyFont="1" applyFill="1" applyBorder="1" applyAlignment="1">
      <alignment horizontal="center" vertical="center"/>
    </xf>
    <xf numFmtId="0" fontId="39" fillId="3" borderId="13" xfId="0" applyFont="1" applyFill="1" applyBorder="1" applyAlignment="1">
      <alignment horizontal="center" vertical="center" wrapText="1"/>
    </xf>
    <xf numFmtId="0" fontId="37" fillId="2" borderId="1" xfId="0" applyFont="1" applyFill="1" applyBorder="1" applyAlignment="1">
      <alignment horizontal="center" vertical="center"/>
    </xf>
    <xf numFmtId="0" fontId="32" fillId="0" borderId="1" xfId="0" applyFont="1" applyBorder="1" applyAlignment="1">
      <alignment horizontal="left" vertical="center" wrapText="1"/>
    </xf>
    <xf numFmtId="0" fontId="41" fillId="3" borderId="9" xfId="2" applyNumberFormat="1" applyFont="1" applyFill="1" applyBorder="1" applyAlignment="1">
      <alignment horizontal="center" vertical="center" wrapText="1"/>
    </xf>
    <xf numFmtId="0" fontId="41" fillId="3" borderId="13" xfId="2" applyNumberFormat="1" applyFont="1" applyFill="1" applyBorder="1" applyAlignment="1">
      <alignment horizontal="center" vertical="center" wrapText="1"/>
    </xf>
    <xf numFmtId="0" fontId="41" fillId="3" borderId="14" xfId="2" applyNumberFormat="1" applyFont="1" applyFill="1" applyBorder="1" applyAlignment="1">
      <alignment horizontal="center" vertical="center" wrapText="1"/>
    </xf>
    <xf numFmtId="0" fontId="37" fillId="2" borderId="9" xfId="0" applyFont="1" applyFill="1" applyBorder="1" applyAlignment="1">
      <alignment horizontal="center" vertical="center" wrapText="1"/>
    </xf>
    <xf numFmtId="0" fontId="37" fillId="2" borderId="13" xfId="0" applyFont="1" applyFill="1" applyBorder="1" applyAlignment="1">
      <alignment horizontal="center" vertical="center" wrapText="1"/>
    </xf>
    <xf numFmtId="0" fontId="37" fillId="2" borderId="14" xfId="0" applyFont="1" applyFill="1" applyBorder="1" applyAlignment="1">
      <alignment horizontal="center" vertical="center" wrapText="1"/>
    </xf>
    <xf numFmtId="0" fontId="36" fillId="0" borderId="2" xfId="0" applyFont="1" applyBorder="1" applyAlignment="1">
      <alignment horizontal="center" vertical="center"/>
    </xf>
    <xf numFmtId="0" fontId="36" fillId="0" borderId="4" xfId="0" applyFont="1" applyBorder="1" applyAlignment="1">
      <alignment horizontal="center" vertical="center"/>
    </xf>
    <xf numFmtId="0" fontId="36" fillId="0" borderId="3" xfId="0" applyFont="1" applyBorder="1" applyAlignment="1">
      <alignment horizontal="center" vertical="center"/>
    </xf>
    <xf numFmtId="0" fontId="35" fillId="0" borderId="2" xfId="0" applyFont="1" applyBorder="1" applyAlignment="1">
      <alignment horizontal="center"/>
    </xf>
    <xf numFmtId="0" fontId="35" fillId="0" borderId="4" xfId="0" applyFont="1" applyBorder="1" applyAlignment="1">
      <alignment horizontal="center"/>
    </xf>
    <xf numFmtId="0" fontId="35" fillId="0" borderId="3" xfId="0" applyFont="1" applyBorder="1" applyAlignment="1">
      <alignment horizontal="center"/>
    </xf>
    <xf numFmtId="0" fontId="36" fillId="2" borderId="2" xfId="0" applyFont="1" applyFill="1" applyBorder="1" applyAlignment="1">
      <alignment horizontal="center" vertical="center"/>
    </xf>
    <xf numFmtId="0" fontId="36" fillId="2" borderId="4" xfId="0" applyFont="1" applyFill="1" applyBorder="1" applyAlignment="1">
      <alignment horizontal="center" vertical="center"/>
    </xf>
    <xf numFmtId="0" fontId="36" fillId="2" borderId="3" xfId="0" applyFont="1" applyFill="1" applyBorder="1" applyAlignment="1">
      <alignment horizontal="center" vertical="center"/>
    </xf>
    <xf numFmtId="0" fontId="36" fillId="3" borderId="2"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34" fillId="2" borderId="4" xfId="0" applyFont="1" applyFill="1" applyBorder="1" applyAlignment="1">
      <alignment horizontal="center" vertical="center" wrapText="1"/>
    </xf>
    <xf numFmtId="166" fontId="34" fillId="2" borderId="2" xfId="2" applyNumberFormat="1" applyFont="1" applyFill="1" applyBorder="1" applyAlignment="1">
      <alignment horizontal="center" vertical="center"/>
    </xf>
    <xf numFmtId="166" fontId="34" fillId="2" borderId="3" xfId="2" applyNumberFormat="1" applyFont="1" applyFill="1" applyBorder="1" applyAlignment="1">
      <alignment horizontal="center" vertical="center"/>
    </xf>
    <xf numFmtId="0" fontId="34" fillId="2" borderId="1" xfId="0" applyFont="1" applyFill="1" applyBorder="1" applyAlignment="1">
      <alignment horizontal="center" vertical="center" wrapText="1"/>
    </xf>
    <xf numFmtId="165" fontId="34" fillId="2" borderId="3" xfId="0" applyNumberFormat="1" applyFont="1" applyFill="1" applyBorder="1" applyAlignment="1">
      <alignment vertical="center" wrapText="1"/>
    </xf>
    <xf numFmtId="165" fontId="34" fillId="2" borderId="3" xfId="0" applyNumberFormat="1" applyFont="1" applyFill="1" applyBorder="1" applyAlignment="1">
      <alignment horizontal="center" vertical="center" wrapText="1"/>
    </xf>
    <xf numFmtId="165" fontId="34" fillId="3" borderId="1" xfId="2" applyNumberFormat="1" applyFont="1" applyFill="1" applyBorder="1" applyAlignment="1">
      <alignment horizontal="center" vertical="center"/>
    </xf>
    <xf numFmtId="0" fontId="34" fillId="3" borderId="1" xfId="0" applyFont="1" applyFill="1" applyBorder="1" applyAlignment="1">
      <alignment horizontal="center" vertical="center" wrapText="1"/>
    </xf>
    <xf numFmtId="0" fontId="34" fillId="0" borderId="1" xfId="0" applyFont="1" applyBorder="1" applyAlignment="1">
      <alignment horizontal="left" vertical="center" wrapText="1"/>
    </xf>
    <xf numFmtId="0" fontId="34" fillId="0" borderId="0" xfId="0" applyFont="1" applyAlignment="1">
      <alignment horizontal="center" vertical="center"/>
    </xf>
  </cellXfs>
  <cellStyles count="5">
    <cellStyle name="Millares" xfId="1" builtinId="3"/>
    <cellStyle name="Millares 2" xfId="3" xr:uid="{00000000-0005-0000-0000-000001000000}"/>
    <cellStyle name="Moneda" xfId="2" builtinId="4"/>
    <cellStyle name="Normal" xfId="0" builtinId="0"/>
    <cellStyle name="Porcentaje" xfId="4" builtin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446025</xdr:colOff>
      <xdr:row>3</xdr:row>
      <xdr:rowOff>402</xdr:rowOff>
    </xdr:to>
    <xdr:pic>
      <xdr:nvPicPr>
        <xdr:cNvPr id="2" name="4 Imagen" descr="C:\Users\adriana.luque\Downloads\LOGO NUEVO + ALCALDIA 2-0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t="9674" r="56010" b="9726"/>
        <a:stretch>
          <a:fillRect/>
        </a:stretch>
      </xdr:blipFill>
      <xdr:spPr bwMode="auto">
        <a:xfrm>
          <a:off x="0" y="0"/>
          <a:ext cx="1008000" cy="905277"/>
        </a:xfrm>
        <a:prstGeom prst="rect">
          <a:avLst/>
        </a:prstGeom>
        <a:noFill/>
        <a:ln w="9525">
          <a:noFill/>
          <a:miter lim="800000"/>
          <a:headEnd/>
          <a:tailEnd/>
        </a:ln>
      </xdr:spPr>
    </xdr:pic>
    <xdr:clientData/>
  </xdr:twoCellAnchor>
  <xdr:twoCellAnchor editAs="oneCell">
    <xdr:from>
      <xdr:col>23</xdr:col>
      <xdr:colOff>323850</xdr:colOff>
      <xdr:row>0</xdr:row>
      <xdr:rowOff>47625</xdr:rowOff>
    </xdr:from>
    <xdr:to>
      <xdr:col>24</xdr:col>
      <xdr:colOff>160275</xdr:colOff>
      <xdr:row>3</xdr:row>
      <xdr:rowOff>42013</xdr:rowOff>
    </xdr:to>
    <xdr:pic>
      <xdr:nvPicPr>
        <xdr:cNvPr id="3" name="5 Imagen" descr="C:\Users\adriana.luque\Downloads\LOGO NUEVO + ALCALDIA 2-01.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srcRect l="53850" t="7025" b="10076"/>
        <a:stretch>
          <a:fillRect/>
        </a:stretch>
      </xdr:blipFill>
      <xdr:spPr bwMode="auto">
        <a:xfrm>
          <a:off x="16354425" y="47625"/>
          <a:ext cx="1008000" cy="89926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42"/>
  <sheetViews>
    <sheetView view="pageBreakPreview" topLeftCell="A2" zoomScale="60" zoomScaleNormal="100" workbookViewId="0">
      <selection activeCell="AJ10" sqref="AJ10"/>
    </sheetView>
  </sheetViews>
  <sheetFormatPr baseColWidth="10" defaultRowHeight="12.75" x14ac:dyDescent="0.2"/>
  <cols>
    <col min="1" max="1" width="8.42578125" style="1" customWidth="1"/>
    <col min="2" max="2" width="7.140625" style="1" customWidth="1"/>
    <col min="3" max="3" width="35.7109375" style="14" customWidth="1"/>
    <col min="4" max="4" width="49.42578125" style="1" customWidth="1"/>
    <col min="5" max="5" width="9" style="1" customWidth="1"/>
    <col min="6" max="8" width="13.5703125" style="68" customWidth="1"/>
    <col min="9" max="9" width="14.7109375" style="20" customWidth="1"/>
    <col min="10" max="10" width="13.5703125" style="20" customWidth="1"/>
    <col min="11" max="12" width="17" style="24" customWidth="1"/>
    <col min="13" max="14" width="17" style="31" customWidth="1"/>
    <col min="15" max="22" width="17" style="28" customWidth="1"/>
    <col min="23" max="23" width="15.140625" style="1" customWidth="1"/>
    <col min="24" max="26" width="17.5703125" style="1" customWidth="1"/>
    <col min="27" max="27" width="14.5703125" style="1" customWidth="1"/>
    <col min="28" max="28" width="11.42578125" style="1"/>
    <col min="29" max="30" width="13.5703125" style="1" bestFit="1" customWidth="1"/>
    <col min="31" max="31" width="13.140625" style="1" bestFit="1" customWidth="1"/>
    <col min="32" max="34" width="13.5703125" style="1" bestFit="1" customWidth="1"/>
    <col min="35" max="35" width="13.140625" style="1" bestFit="1" customWidth="1"/>
    <col min="36" max="38" width="13.5703125" style="1" bestFit="1" customWidth="1"/>
    <col min="39" max="40" width="14.42578125" style="1" bestFit="1" customWidth="1"/>
    <col min="41" max="41" width="11.42578125" style="1"/>
    <col min="42" max="42" width="12.42578125" style="1" bestFit="1" customWidth="1"/>
    <col min="43" max="43" width="12.85546875" style="1" bestFit="1" customWidth="1"/>
    <col min="44" max="45" width="11.42578125" style="1"/>
    <col min="46" max="46" width="16.140625" style="36" customWidth="1"/>
    <col min="47" max="47" width="12.85546875" style="1" bestFit="1" customWidth="1"/>
    <col min="48" max="48" width="11.42578125" style="45"/>
    <col min="49" max="16384" width="11.42578125" style="1"/>
  </cols>
  <sheetData>
    <row r="1" spans="1:49" ht="23.25" customHeight="1" x14ac:dyDescent="0.2">
      <c r="A1" s="166"/>
      <c r="B1" s="167"/>
      <c r="C1" s="172" t="s">
        <v>1</v>
      </c>
      <c r="D1" s="173"/>
      <c r="E1" s="173"/>
      <c r="F1" s="173"/>
      <c r="G1" s="173"/>
      <c r="H1" s="173"/>
      <c r="I1" s="173"/>
      <c r="J1" s="173"/>
      <c r="K1" s="173"/>
      <c r="L1" s="173"/>
      <c r="M1" s="173"/>
      <c r="N1" s="173"/>
      <c r="O1" s="173"/>
      <c r="P1" s="173"/>
      <c r="Q1" s="173"/>
      <c r="R1" s="173"/>
      <c r="S1" s="174"/>
      <c r="T1" s="83"/>
      <c r="U1" s="178" t="s">
        <v>13</v>
      </c>
      <c r="V1" s="179"/>
      <c r="W1" s="180"/>
      <c r="X1" s="168"/>
      <c r="Y1" s="181"/>
      <c r="Z1" s="169"/>
      <c r="AA1" s="4"/>
    </row>
    <row r="2" spans="1:49" ht="23.25" customHeight="1" x14ac:dyDescent="0.2">
      <c r="A2" s="168"/>
      <c r="B2" s="169"/>
      <c r="C2" s="175"/>
      <c r="D2" s="176"/>
      <c r="E2" s="176"/>
      <c r="F2" s="176"/>
      <c r="G2" s="176"/>
      <c r="H2" s="176"/>
      <c r="I2" s="176"/>
      <c r="J2" s="176"/>
      <c r="K2" s="176"/>
      <c r="L2" s="176"/>
      <c r="M2" s="176"/>
      <c r="N2" s="176"/>
      <c r="O2" s="176"/>
      <c r="P2" s="176"/>
      <c r="Q2" s="176"/>
      <c r="R2" s="176"/>
      <c r="S2" s="177"/>
      <c r="T2" s="84"/>
      <c r="U2" s="182" t="s">
        <v>9</v>
      </c>
      <c r="V2" s="183"/>
      <c r="W2" s="184"/>
      <c r="X2" s="168"/>
      <c r="Y2" s="181"/>
      <c r="Z2" s="169"/>
      <c r="AA2" s="4"/>
    </row>
    <row r="3" spans="1:49" ht="24.75" customHeight="1" x14ac:dyDescent="0.25">
      <c r="A3" s="170"/>
      <c r="B3" s="171"/>
      <c r="C3" s="182" t="s">
        <v>12</v>
      </c>
      <c r="D3" s="183"/>
      <c r="E3" s="184"/>
      <c r="F3" s="85"/>
      <c r="G3" s="85"/>
      <c r="H3" s="89"/>
      <c r="I3" s="182" t="s">
        <v>2</v>
      </c>
      <c r="J3" s="183"/>
      <c r="K3" s="183"/>
      <c r="L3" s="183"/>
      <c r="M3" s="183"/>
      <c r="N3" s="183"/>
      <c r="O3" s="183"/>
      <c r="P3" s="183"/>
      <c r="Q3" s="183"/>
      <c r="R3" s="183"/>
      <c r="S3" s="184"/>
      <c r="T3" s="86"/>
      <c r="U3" s="182" t="s">
        <v>11</v>
      </c>
      <c r="V3" s="183"/>
      <c r="W3" s="184"/>
      <c r="X3" s="168"/>
      <c r="Y3" s="181"/>
      <c r="Z3" s="169"/>
      <c r="AA3" s="4"/>
      <c r="AC3" s="87"/>
    </row>
    <row r="5" spans="1:49" s="2" customFormat="1" ht="21.75" customHeight="1" x14ac:dyDescent="0.2">
      <c r="A5" s="153" t="s">
        <v>22</v>
      </c>
      <c r="B5" s="153"/>
      <c r="C5" s="153"/>
      <c r="D5" s="153"/>
      <c r="E5" s="153"/>
      <c r="F5" s="153"/>
      <c r="G5" s="153"/>
      <c r="H5" s="153"/>
      <c r="I5" s="153"/>
      <c r="J5" s="153"/>
      <c r="K5" s="153"/>
      <c r="L5" s="153"/>
      <c r="M5" s="153"/>
      <c r="N5" s="153"/>
      <c r="O5" s="153"/>
      <c r="P5" s="153"/>
      <c r="Q5" s="153"/>
      <c r="R5" s="153"/>
      <c r="S5" s="153"/>
      <c r="T5" s="153"/>
      <c r="U5" s="153"/>
      <c r="V5" s="153"/>
      <c r="W5" s="153"/>
      <c r="X5" s="153"/>
      <c r="Y5" s="153"/>
      <c r="Z5" s="153"/>
      <c r="AA5" s="105"/>
      <c r="AT5" s="57"/>
      <c r="AV5" s="46"/>
    </row>
    <row r="6" spans="1:49" s="2" customFormat="1" ht="21.75" customHeight="1" x14ac:dyDescent="0.2">
      <c r="A6" s="154" t="s">
        <v>4</v>
      </c>
      <c r="B6" s="155"/>
      <c r="C6" s="155"/>
      <c r="D6" s="155"/>
      <c r="E6" s="155"/>
      <c r="F6" s="155"/>
      <c r="G6" s="155"/>
      <c r="H6" s="155"/>
      <c r="I6" s="155"/>
      <c r="J6" s="155"/>
      <c r="K6" s="155"/>
      <c r="L6" s="155"/>
      <c r="M6" s="155"/>
      <c r="N6" s="155"/>
      <c r="O6" s="155"/>
      <c r="P6" s="155"/>
      <c r="Q6" s="155"/>
      <c r="R6" s="155"/>
      <c r="S6" s="156"/>
      <c r="T6" s="91"/>
      <c r="U6" s="157">
        <f>+U7</f>
        <v>275384461</v>
      </c>
      <c r="V6" s="158"/>
      <c r="W6" s="159"/>
      <c r="X6" s="160" t="s">
        <v>75</v>
      </c>
      <c r="Y6" s="161"/>
      <c r="Z6" s="162"/>
      <c r="AA6" s="106"/>
      <c r="AT6" s="57"/>
      <c r="AV6" s="46"/>
    </row>
    <row r="7" spans="1:49" s="2" customFormat="1" ht="21.75" customHeight="1" x14ac:dyDescent="0.2">
      <c r="A7" s="154" t="s">
        <v>6</v>
      </c>
      <c r="B7" s="155"/>
      <c r="C7" s="155"/>
      <c r="D7" s="155"/>
      <c r="E7" s="155"/>
      <c r="F7" s="155"/>
      <c r="G7" s="155"/>
      <c r="H7" s="155"/>
      <c r="I7" s="155"/>
      <c r="J7" s="155"/>
      <c r="K7" s="155"/>
      <c r="L7" s="155"/>
      <c r="M7" s="155"/>
      <c r="N7" s="155"/>
      <c r="O7" s="155"/>
      <c r="P7" s="155"/>
      <c r="Q7" s="155"/>
      <c r="R7" s="155"/>
      <c r="S7" s="156"/>
      <c r="T7" s="91"/>
      <c r="U7" s="157">
        <v>275384461</v>
      </c>
      <c r="V7" s="158"/>
      <c r="W7" s="159"/>
      <c r="X7" s="163"/>
      <c r="Y7" s="164"/>
      <c r="Z7" s="165"/>
      <c r="AA7" s="106"/>
      <c r="AT7" s="57"/>
      <c r="AV7" s="46"/>
    </row>
    <row r="8" spans="1:49" s="3" customFormat="1" ht="17.25" customHeight="1" x14ac:dyDescent="0.15">
      <c r="A8" s="142" t="s">
        <v>7</v>
      </c>
      <c r="B8" s="142"/>
      <c r="C8" s="142"/>
      <c r="D8" s="142"/>
      <c r="E8" s="142"/>
      <c r="F8" s="129" t="s">
        <v>76</v>
      </c>
      <c r="G8" s="130"/>
      <c r="H8" s="66"/>
      <c r="I8" s="142" t="s">
        <v>0</v>
      </c>
      <c r="J8" s="142"/>
      <c r="K8" s="142"/>
      <c r="L8" s="142"/>
      <c r="M8" s="142"/>
      <c r="N8" s="142"/>
      <c r="O8" s="142"/>
      <c r="P8" s="142"/>
      <c r="Q8" s="142"/>
      <c r="R8" s="142"/>
      <c r="S8" s="142"/>
      <c r="T8" s="142"/>
      <c r="U8" s="142"/>
      <c r="V8" s="142"/>
      <c r="W8" s="142"/>
      <c r="X8" s="151" t="s">
        <v>17</v>
      </c>
      <c r="Y8" s="151" t="s">
        <v>78</v>
      </c>
      <c r="Z8" s="151" t="s">
        <v>18</v>
      </c>
      <c r="AA8" s="107"/>
      <c r="AT8" s="58"/>
      <c r="AV8" s="47"/>
    </row>
    <row r="9" spans="1:49" s="3" customFormat="1" ht="26.25" customHeight="1" thickBot="1" x14ac:dyDescent="0.2">
      <c r="A9" s="142"/>
      <c r="B9" s="142"/>
      <c r="C9" s="142"/>
      <c r="D9" s="142"/>
      <c r="E9" s="142"/>
      <c r="F9" s="65"/>
      <c r="G9" s="65">
        <v>1.1200000000000001</v>
      </c>
      <c r="H9" s="65"/>
      <c r="I9" s="133" t="s">
        <v>47</v>
      </c>
      <c r="J9" s="134"/>
      <c r="K9" s="133" t="s">
        <v>70</v>
      </c>
      <c r="L9" s="134"/>
      <c r="M9" s="131" t="s">
        <v>48</v>
      </c>
      <c r="N9" s="132"/>
      <c r="O9" s="131" t="s">
        <v>49</v>
      </c>
      <c r="P9" s="132"/>
      <c r="Q9" s="131" t="s">
        <v>71</v>
      </c>
      <c r="R9" s="132"/>
      <c r="S9" s="131" t="s">
        <v>73</v>
      </c>
      <c r="T9" s="132"/>
      <c r="U9" s="149" t="s">
        <v>74</v>
      </c>
      <c r="V9" s="150"/>
      <c r="W9" s="151" t="s">
        <v>72</v>
      </c>
      <c r="X9" s="151"/>
      <c r="Y9" s="151"/>
      <c r="Z9" s="151"/>
      <c r="AA9" s="107"/>
      <c r="AC9" s="152" t="s">
        <v>51</v>
      </c>
      <c r="AD9" s="152"/>
      <c r="AE9" s="152"/>
      <c r="AF9" s="152"/>
      <c r="AG9" s="152"/>
      <c r="AH9" s="152"/>
      <c r="AI9" s="152"/>
      <c r="AJ9" s="141"/>
      <c r="AK9" s="141"/>
      <c r="AL9" s="141"/>
      <c r="AM9" s="141"/>
      <c r="AN9" s="141"/>
      <c r="AP9" s="141" t="s">
        <v>52</v>
      </c>
      <c r="AQ9" s="141"/>
      <c r="AR9" s="141"/>
      <c r="AT9" s="141" t="s">
        <v>53</v>
      </c>
      <c r="AU9" s="141"/>
      <c r="AV9" s="141"/>
    </row>
    <row r="10" spans="1:49" s="3" customFormat="1" ht="62.25" customHeight="1" x14ac:dyDescent="0.15">
      <c r="A10" s="8" t="s">
        <v>15</v>
      </c>
      <c r="B10" s="142" t="s">
        <v>16</v>
      </c>
      <c r="C10" s="142"/>
      <c r="D10" s="142"/>
      <c r="E10" s="73" t="s">
        <v>14</v>
      </c>
      <c r="F10" s="64"/>
      <c r="G10" s="64"/>
      <c r="H10" s="9" t="s">
        <v>77</v>
      </c>
      <c r="I10" s="9" t="s">
        <v>50</v>
      </c>
      <c r="J10" s="9" t="s">
        <v>77</v>
      </c>
      <c r="K10" s="22" t="s">
        <v>50</v>
      </c>
      <c r="L10" s="9" t="s">
        <v>77</v>
      </c>
      <c r="M10" s="9" t="s">
        <v>50</v>
      </c>
      <c r="N10" s="9" t="s">
        <v>77</v>
      </c>
      <c r="O10" s="22" t="s">
        <v>50</v>
      </c>
      <c r="P10" s="9" t="s">
        <v>77</v>
      </c>
      <c r="Q10" s="9" t="s">
        <v>50</v>
      </c>
      <c r="R10" s="9" t="s">
        <v>77</v>
      </c>
      <c r="S10" s="22" t="s">
        <v>50</v>
      </c>
      <c r="T10" s="9" t="s">
        <v>77</v>
      </c>
      <c r="U10" s="9" t="s">
        <v>50</v>
      </c>
      <c r="V10" s="9" t="s">
        <v>77</v>
      </c>
      <c r="W10" s="151"/>
      <c r="X10" s="151"/>
      <c r="Y10" s="151"/>
      <c r="Z10" s="151"/>
      <c r="AA10" s="107"/>
      <c r="AC10" s="52" t="s">
        <v>54</v>
      </c>
      <c r="AD10" s="53" t="s">
        <v>55</v>
      </c>
      <c r="AE10" s="53" t="s">
        <v>56</v>
      </c>
      <c r="AF10" s="53" t="s">
        <v>66</v>
      </c>
      <c r="AG10" s="53" t="s">
        <v>67</v>
      </c>
      <c r="AH10" s="53" t="s">
        <v>68</v>
      </c>
      <c r="AI10" s="54" t="s">
        <v>69</v>
      </c>
      <c r="AJ10" s="50" t="s">
        <v>57</v>
      </c>
      <c r="AK10" s="37" t="s">
        <v>58</v>
      </c>
      <c r="AL10" s="37" t="s">
        <v>59</v>
      </c>
      <c r="AM10" s="37" t="s">
        <v>60</v>
      </c>
      <c r="AN10" s="37" t="s">
        <v>61</v>
      </c>
      <c r="AP10" s="38" t="s">
        <v>62</v>
      </c>
      <c r="AQ10" s="38" t="s">
        <v>63</v>
      </c>
      <c r="AR10" s="38" t="s">
        <v>64</v>
      </c>
      <c r="AT10" s="59" t="s">
        <v>65</v>
      </c>
      <c r="AU10" s="38" t="s">
        <v>63</v>
      </c>
      <c r="AV10" s="48" t="s">
        <v>64</v>
      </c>
    </row>
    <row r="11" spans="1:49" s="3" customFormat="1" ht="39" customHeight="1" x14ac:dyDescent="0.15">
      <c r="A11" s="143" t="s">
        <v>23</v>
      </c>
      <c r="B11" s="145">
        <v>1</v>
      </c>
      <c r="C11" s="147" t="s">
        <v>24</v>
      </c>
      <c r="D11" s="110" t="s">
        <v>25</v>
      </c>
      <c r="E11" s="12" t="s">
        <v>26</v>
      </c>
      <c r="F11" s="75">
        <f>(7000000*1.19)/4</f>
        <v>2082500</v>
      </c>
      <c r="G11" s="75">
        <f>+F11*$G$9</f>
        <v>2332400</v>
      </c>
      <c r="H11" s="75">
        <f>+G11*$W$11</f>
        <v>9329600</v>
      </c>
      <c r="I11" s="92">
        <v>4500000</v>
      </c>
      <c r="J11" s="75">
        <f>+I11*$W$11</f>
        <v>18000000</v>
      </c>
      <c r="K11" s="92">
        <v>4522000</v>
      </c>
      <c r="L11" s="75">
        <f>+K11*$W$11</f>
        <v>18088000</v>
      </c>
      <c r="M11" s="75">
        <v>3150000</v>
      </c>
      <c r="N11" s="75">
        <f>+M11*$W$11</f>
        <v>12600000</v>
      </c>
      <c r="O11" s="76">
        <v>4260200</v>
      </c>
      <c r="P11" s="75">
        <f>+O11*$W$11</f>
        <v>17040800</v>
      </c>
      <c r="Q11" s="76">
        <v>3000000</v>
      </c>
      <c r="R11" s="75">
        <f>+Q11*$W$11</f>
        <v>12000000</v>
      </c>
      <c r="S11" s="92">
        <v>1200000</v>
      </c>
      <c r="T11" s="75">
        <f>+S11*$W$11</f>
        <v>4800000</v>
      </c>
      <c r="U11" s="75">
        <v>2415700</v>
      </c>
      <c r="V11" s="75">
        <f>+U11*$W$11</f>
        <v>9662800</v>
      </c>
      <c r="W11" s="111">
        <v>4</v>
      </c>
      <c r="X11" s="18">
        <f>AVERAGE(I11,K11,O11,Q11,S11,U11,M11)</f>
        <v>3292557.1428571427</v>
      </c>
      <c r="Y11" s="18">
        <f>+X11*W11</f>
        <v>13170228.571428571</v>
      </c>
      <c r="Z11" s="18">
        <f>GEOMEAN(I11,K11,O11,Q11,S11,U11,M11)</f>
        <v>3035517.4270837847</v>
      </c>
      <c r="AA11" s="18">
        <f>+Z11*W11</f>
        <v>12142069.708335139</v>
      </c>
      <c r="AB11" s="18"/>
      <c r="AC11" s="55">
        <f t="shared" ref="AC11:AC27" si="0">+I11</f>
        <v>4500000</v>
      </c>
      <c r="AD11" s="18">
        <f t="shared" ref="AD11:AD27" si="1">+K11</f>
        <v>4522000</v>
      </c>
      <c r="AE11" s="71">
        <f t="shared" ref="AE11:AE27" si="2">+M11</f>
        <v>3150000</v>
      </c>
      <c r="AF11" s="18">
        <f t="shared" ref="AF11:AF27" si="3">+O11</f>
        <v>4260200</v>
      </c>
      <c r="AG11" s="18">
        <f t="shared" ref="AG11:AG27" si="4">+Q11</f>
        <v>3000000</v>
      </c>
      <c r="AH11" s="18">
        <f t="shared" ref="AH11:AH27" si="5">+S11</f>
        <v>1200000</v>
      </c>
      <c r="AI11" s="56">
        <f t="shared" ref="AI11:AI27" si="6">+U11</f>
        <v>2415700</v>
      </c>
      <c r="AJ11" s="51">
        <f>+_xlfn.QUARTILE.EXC(AC11:AI11,1)</f>
        <v>2415700</v>
      </c>
      <c r="AK11" s="18">
        <f>+_xlfn.QUARTILE.EXC(AC11:AI11,3)</f>
        <v>4500000</v>
      </c>
      <c r="AL11" s="18">
        <f>+AK11-AJ11</f>
        <v>2084300</v>
      </c>
      <c r="AM11" s="18">
        <f>+AJ11-AL11*1.5</f>
        <v>-710750</v>
      </c>
      <c r="AN11" s="18">
        <f>+AK11+AL11*1</f>
        <v>6584300</v>
      </c>
      <c r="AO11" s="18"/>
      <c r="AP11" s="18">
        <f>+AVERAGE(AC11:AI11)</f>
        <v>3292557.1428571427</v>
      </c>
      <c r="AQ11" s="18">
        <f>+_xlfn.STDEV.P(AC11:AI11)</f>
        <v>1143888.5283567286</v>
      </c>
      <c r="AR11" s="44">
        <f>+AQ11/AP11</f>
        <v>0.34741645436231067</v>
      </c>
      <c r="AS11" s="18"/>
      <c r="AT11" s="18">
        <f>+GEOMEAN(AC11:AI11)</f>
        <v>3035517.4270837847</v>
      </c>
      <c r="AU11" s="18">
        <f>+SQRT(((AG11-AT11)^2+(AH11-AT11)^2+(AI11-AT11)^2+(AF11-AT11)^2+(AE11-AT11)^2+(AD11-AT11)^2+(AC11-AT11)^2)/7)</f>
        <v>1172412.2060056229</v>
      </c>
      <c r="AV11" s="44">
        <f>+AU11/AT11</f>
        <v>0.38623141990390641</v>
      </c>
      <c r="AW11" s="81">
        <f>+AT11-Z11</f>
        <v>0</v>
      </c>
    </row>
    <row r="12" spans="1:49" s="3" customFormat="1" ht="39" customHeight="1" x14ac:dyDescent="0.15">
      <c r="A12" s="144"/>
      <c r="B12" s="145"/>
      <c r="C12" s="147"/>
      <c r="D12" s="10" t="s">
        <v>27</v>
      </c>
      <c r="E12" s="11" t="s">
        <v>26</v>
      </c>
      <c r="F12" s="17">
        <f>+((18000*60)*1.19)/4</f>
        <v>321300</v>
      </c>
      <c r="G12" s="17">
        <f t="shared" ref="G12:G26" si="7">+F12*$G$9</f>
        <v>359856.00000000006</v>
      </c>
      <c r="H12" s="17">
        <f>+G12*$W$12</f>
        <v>1439424.0000000002</v>
      </c>
      <c r="I12" s="18">
        <v>495489</v>
      </c>
      <c r="J12" s="17">
        <f>+I12*$W$12</f>
        <v>1981956</v>
      </c>
      <c r="K12" s="18">
        <v>1428000</v>
      </c>
      <c r="L12" s="17">
        <f>+K12*$W$12</f>
        <v>5712000</v>
      </c>
      <c r="M12" s="17">
        <v>1848000</v>
      </c>
      <c r="N12" s="17">
        <f>+M12*$W$12</f>
        <v>7392000</v>
      </c>
      <c r="O12" s="74">
        <v>1285200</v>
      </c>
      <c r="P12" s="17">
        <f>+O12*$W$12</f>
        <v>5140800</v>
      </c>
      <c r="Q12" s="74">
        <v>1500000</v>
      </c>
      <c r="R12" s="17">
        <f>+Q12*$W$12</f>
        <v>6000000</v>
      </c>
      <c r="S12" s="18">
        <v>350000</v>
      </c>
      <c r="T12" s="17">
        <f>+S12*$W$12</f>
        <v>1400000</v>
      </c>
      <c r="U12" s="82">
        <f>25882.5*60</f>
        <v>1552950</v>
      </c>
      <c r="V12" s="17">
        <f>+U12*$W$12</f>
        <v>6211800</v>
      </c>
      <c r="W12" s="112">
        <v>4</v>
      </c>
      <c r="X12" s="18">
        <f>AVERAGE(I12,K12,M12,O12,Q12,S12,U12)</f>
        <v>1208519.857142857</v>
      </c>
      <c r="Y12" s="18">
        <f t="shared" ref="Y12:Y27" si="8">+X12*W12</f>
        <v>4834079.4285714282</v>
      </c>
      <c r="Z12" s="18">
        <f>GEOMEAN(I12,K12,O12,Q12,S12,U12,M12)</f>
        <v>1046010.2855401462</v>
      </c>
      <c r="AA12" s="18">
        <f t="shared" ref="AA12:AA27" si="9">+Z12*W12</f>
        <v>4184041.1421605847</v>
      </c>
      <c r="AB12" s="18"/>
      <c r="AC12" s="55">
        <f t="shared" si="0"/>
        <v>495489</v>
      </c>
      <c r="AD12" s="18">
        <f t="shared" si="1"/>
        <v>1428000</v>
      </c>
      <c r="AE12" s="18">
        <f t="shared" si="2"/>
        <v>1848000</v>
      </c>
      <c r="AF12" s="18">
        <f t="shared" si="3"/>
        <v>1285200</v>
      </c>
      <c r="AG12" s="18">
        <f t="shared" si="4"/>
        <v>1500000</v>
      </c>
      <c r="AH12" s="18">
        <f t="shared" si="5"/>
        <v>350000</v>
      </c>
      <c r="AI12" s="56">
        <f t="shared" si="6"/>
        <v>1552950</v>
      </c>
      <c r="AJ12" s="51">
        <f t="shared" ref="AJ12:AJ27" si="10">+_xlfn.QUARTILE.EXC(AC12:AI12,1)</f>
        <v>495489</v>
      </c>
      <c r="AK12" s="18">
        <f t="shared" ref="AK12:AK27" si="11">+_xlfn.QUARTILE.EXC(AC12:AI12,3)</f>
        <v>1552950</v>
      </c>
      <c r="AL12" s="18">
        <f t="shared" ref="AL12:AL27" si="12">+AK12-AJ12</f>
        <v>1057461</v>
      </c>
      <c r="AM12" s="18">
        <f t="shared" ref="AM12:AM27" si="13">+AJ12-AL12*1.5</f>
        <v>-1090702.5</v>
      </c>
      <c r="AN12" s="18">
        <f t="shared" ref="AN12:AN27" si="14">+AK12+AL12*1</f>
        <v>2610411</v>
      </c>
      <c r="AO12" s="18"/>
      <c r="AP12" s="18">
        <f>+AVERAGE(AC12:AI12)</f>
        <v>1208519.857142857</v>
      </c>
      <c r="AQ12" s="18">
        <f>+_xlfn.STDEV.P(AC12:AI12)</f>
        <v>522637.3197353232</v>
      </c>
      <c r="AR12" s="44">
        <f>+AQ12/AP12</f>
        <v>0.43246068043178471</v>
      </c>
      <c r="AS12" s="18"/>
      <c r="AT12" s="18">
        <f>+GEOMEAN(AC12:AI12)</f>
        <v>1046010.2855401462</v>
      </c>
      <c r="AU12" s="18">
        <f>+SQRT(((AG12-AT12)^2+(AH12-AT12)^2+(AI12-AT12)^2+(AF12-AT12)^2+(AE12-AT12)^2+(AD12-AT12)^2+(AC12-AT12)^2)/7)</f>
        <v>547319.95107306214</v>
      </c>
      <c r="AV12" s="63">
        <f>+AU12/AT12</f>
        <v>0.52324528605417409</v>
      </c>
      <c r="AW12" s="81">
        <f t="shared" ref="AW12:AW27" si="15">+AT12-Z12</f>
        <v>0</v>
      </c>
    </row>
    <row r="13" spans="1:49" s="3" customFormat="1" ht="66" x14ac:dyDescent="0.15">
      <c r="A13" s="144"/>
      <c r="B13" s="145"/>
      <c r="C13" s="147"/>
      <c r="D13" s="10" t="s">
        <v>28</v>
      </c>
      <c r="E13" s="11" t="s">
        <v>29</v>
      </c>
      <c r="F13" s="17">
        <f>+(40000*1.19)*1+10%</f>
        <v>47600.1</v>
      </c>
      <c r="G13" s="17">
        <f t="shared" si="7"/>
        <v>53312.112000000001</v>
      </c>
      <c r="H13" s="17">
        <f>+G13*$W$13</f>
        <v>3198726.72</v>
      </c>
      <c r="I13" s="18">
        <v>35328</v>
      </c>
      <c r="J13" s="17">
        <f>+I13*$W$13</f>
        <v>2119680</v>
      </c>
      <c r="K13" s="18">
        <v>77350</v>
      </c>
      <c r="L13" s="17">
        <f>+K13*$W$13</f>
        <v>4641000</v>
      </c>
      <c r="M13" s="18">
        <v>112000</v>
      </c>
      <c r="N13" s="17">
        <f>+M13*$W$13</f>
        <v>6720000</v>
      </c>
      <c r="O13" s="61">
        <v>3213000</v>
      </c>
      <c r="P13" s="17">
        <f>+O13*$W$13</f>
        <v>192780000</v>
      </c>
      <c r="Q13" s="74">
        <v>40000</v>
      </c>
      <c r="R13" s="17">
        <f>+Q13*$W$13</f>
        <v>2400000</v>
      </c>
      <c r="S13" s="62">
        <v>1800000</v>
      </c>
      <c r="T13" s="17">
        <f>+S13*$W$13</f>
        <v>108000000</v>
      </c>
      <c r="U13" s="17">
        <v>67294.5</v>
      </c>
      <c r="V13" s="17">
        <f>+U13*$W$13</f>
        <v>4037670</v>
      </c>
      <c r="W13" s="112">
        <v>60</v>
      </c>
      <c r="X13" s="18">
        <f>AVERAGE(I13,K13,M13,Q13,U13)</f>
        <v>66394.5</v>
      </c>
      <c r="Y13" s="18">
        <f t="shared" si="8"/>
        <v>3983670</v>
      </c>
      <c r="Z13" s="18">
        <f>GEOMEAN(I13,K13,Q13,U13,M13)</f>
        <v>60697.023010438825</v>
      </c>
      <c r="AA13" s="18">
        <f t="shared" si="9"/>
        <v>3641821.3806263297</v>
      </c>
      <c r="AB13" s="18"/>
      <c r="AC13" s="55">
        <f t="shared" si="0"/>
        <v>35328</v>
      </c>
      <c r="AD13" s="18">
        <f t="shared" si="1"/>
        <v>77350</v>
      </c>
      <c r="AE13" s="18">
        <f t="shared" si="2"/>
        <v>112000</v>
      </c>
      <c r="AF13" s="18">
        <f t="shared" si="3"/>
        <v>3213000</v>
      </c>
      <c r="AG13" s="18">
        <f t="shared" si="4"/>
        <v>40000</v>
      </c>
      <c r="AH13" s="18">
        <f t="shared" si="5"/>
        <v>1800000</v>
      </c>
      <c r="AI13" s="56">
        <f t="shared" si="6"/>
        <v>67294.5</v>
      </c>
      <c r="AJ13" s="51">
        <f t="shared" si="10"/>
        <v>40000</v>
      </c>
      <c r="AK13" s="18">
        <f t="shared" si="11"/>
        <v>1800000</v>
      </c>
      <c r="AL13" s="18">
        <f t="shared" si="12"/>
        <v>1760000</v>
      </c>
      <c r="AM13" s="18">
        <f t="shared" si="13"/>
        <v>-2600000</v>
      </c>
      <c r="AN13" s="18">
        <f t="shared" si="14"/>
        <v>3560000</v>
      </c>
      <c r="AO13" s="18"/>
      <c r="AP13" s="18">
        <f t="shared" ref="AP13:AP27" si="16">+AVERAGE(AC13:AI13)</f>
        <v>763567.5</v>
      </c>
      <c r="AQ13" s="18">
        <f t="shared" ref="AQ13:AQ27" si="17">+_xlfn.STDEV.P(AC13:AI13)</f>
        <v>1165456.7069498366</v>
      </c>
      <c r="AR13" s="44">
        <f t="shared" ref="AR13:AR27" si="18">+AQ13/AP13</f>
        <v>1.526330949064538</v>
      </c>
      <c r="AS13" s="18"/>
      <c r="AT13" s="18">
        <f t="shared" ref="AT13:AT27" si="19">+GEOMEAN(AC13:AI13)</f>
        <v>173666.94686991235</v>
      </c>
      <c r="AU13" s="18">
        <f t="shared" ref="AU13:AU27" si="20">+SQRT(((AG13-AT13)^2+(AH13-AT13)^2+(AI13-AT13)^2+(AF13-AT13)^2+(AE13-AT13)^2+(AD13-AT13)^2+(AC13-AT13)^2)/7)</f>
        <v>1306243.4682544982</v>
      </c>
      <c r="AV13" s="63">
        <f t="shared" ref="AV13:AV27" si="21">+AU13/AT13</f>
        <v>7.5215433437253783</v>
      </c>
      <c r="AW13" s="81">
        <f t="shared" si="15"/>
        <v>112969.92385947352</v>
      </c>
    </row>
    <row r="14" spans="1:49" s="3" customFormat="1" ht="39" customHeight="1" x14ac:dyDescent="0.15">
      <c r="A14" s="144"/>
      <c r="B14" s="145"/>
      <c r="C14" s="147"/>
      <c r="D14" s="10" t="s">
        <v>30</v>
      </c>
      <c r="E14" s="11" t="s">
        <v>29</v>
      </c>
      <c r="F14" s="17">
        <f>+(42000*1.19)*1+10%</f>
        <v>49980.1</v>
      </c>
      <c r="G14" s="17">
        <f t="shared" si="7"/>
        <v>55977.712000000007</v>
      </c>
      <c r="H14" s="17">
        <f>+G14*$W$14</f>
        <v>3358662.72</v>
      </c>
      <c r="I14" s="18">
        <v>12735</v>
      </c>
      <c r="J14" s="17">
        <f>+I14*$W$14</f>
        <v>764100</v>
      </c>
      <c r="K14" s="18">
        <v>27251</v>
      </c>
      <c r="L14" s="17">
        <f>+K14*$W$14</f>
        <v>1635060</v>
      </c>
      <c r="M14" s="18">
        <v>70000</v>
      </c>
      <c r="N14" s="17">
        <f>+M14*$W$14</f>
        <v>4200000</v>
      </c>
      <c r="O14" s="61">
        <v>2713200</v>
      </c>
      <c r="P14" s="17">
        <f>+O14*$W$14</f>
        <v>162792000</v>
      </c>
      <c r="Q14" s="74">
        <v>35000</v>
      </c>
      <c r="R14" s="17">
        <f>+Q14*$W$14</f>
        <v>2100000</v>
      </c>
      <c r="S14" s="62">
        <v>1200000</v>
      </c>
      <c r="T14" s="17">
        <f>+S14*$W$14</f>
        <v>72000000</v>
      </c>
      <c r="U14" s="17">
        <v>50039.5</v>
      </c>
      <c r="V14" s="17">
        <f>+U14*$W$14</f>
        <v>3002370</v>
      </c>
      <c r="W14" s="112">
        <v>60</v>
      </c>
      <c r="X14" s="18">
        <f>AVERAGE(I14,K14,M14,Q14,U14)</f>
        <v>39005.1</v>
      </c>
      <c r="Y14" s="18">
        <f t="shared" si="8"/>
        <v>2340306</v>
      </c>
      <c r="Z14" s="18">
        <f>GEOMEAN(I14,K14,Q14,U14,M14)</f>
        <v>33556.146964031577</v>
      </c>
      <c r="AA14" s="18">
        <f t="shared" si="9"/>
        <v>2013368.8178418947</v>
      </c>
      <c r="AB14" s="18"/>
      <c r="AC14" s="55">
        <f t="shared" si="0"/>
        <v>12735</v>
      </c>
      <c r="AD14" s="18">
        <f t="shared" si="1"/>
        <v>27251</v>
      </c>
      <c r="AE14" s="18">
        <f t="shared" si="2"/>
        <v>70000</v>
      </c>
      <c r="AF14" s="71">
        <f t="shared" si="3"/>
        <v>2713200</v>
      </c>
      <c r="AG14" s="18">
        <f t="shared" si="4"/>
        <v>35000</v>
      </c>
      <c r="AH14" s="18">
        <f t="shared" si="5"/>
        <v>1200000</v>
      </c>
      <c r="AI14" s="56">
        <f t="shared" si="6"/>
        <v>50039.5</v>
      </c>
      <c r="AJ14" s="51">
        <f t="shared" si="10"/>
        <v>27251</v>
      </c>
      <c r="AK14" s="18">
        <f t="shared" si="11"/>
        <v>1200000</v>
      </c>
      <c r="AL14" s="18">
        <f t="shared" si="12"/>
        <v>1172749</v>
      </c>
      <c r="AM14" s="18">
        <f t="shared" si="13"/>
        <v>-1731872.5</v>
      </c>
      <c r="AN14" s="18">
        <f t="shared" si="14"/>
        <v>2372749</v>
      </c>
      <c r="AO14" s="18"/>
      <c r="AP14" s="18">
        <f t="shared" si="16"/>
        <v>586889.35714285716</v>
      </c>
      <c r="AQ14" s="18">
        <f t="shared" si="17"/>
        <v>956176.47549971181</v>
      </c>
      <c r="AR14" s="44">
        <f t="shared" si="18"/>
        <v>1.629227832916665</v>
      </c>
      <c r="AS14" s="18"/>
      <c r="AT14" s="18">
        <f t="shared" si="19"/>
        <v>104765.34365306242</v>
      </c>
      <c r="AU14" s="18">
        <f t="shared" si="20"/>
        <v>1070848.7366022144</v>
      </c>
      <c r="AV14" s="44">
        <f t="shared" si="21"/>
        <v>10.221402414794754</v>
      </c>
      <c r="AW14" s="81">
        <f t="shared" si="15"/>
        <v>71209.196689030839</v>
      </c>
    </row>
    <row r="15" spans="1:49" s="3" customFormat="1" ht="39" customHeight="1" x14ac:dyDescent="0.15">
      <c r="A15" s="144"/>
      <c r="B15" s="145"/>
      <c r="C15" s="147"/>
      <c r="D15" s="10" t="s">
        <v>31</v>
      </c>
      <c r="E15" s="11" t="s">
        <v>32</v>
      </c>
      <c r="F15" s="17">
        <f>+(125000*1.19)*1+10%</f>
        <v>148750.1</v>
      </c>
      <c r="G15" s="17">
        <f t="shared" si="7"/>
        <v>166600.11200000002</v>
      </c>
      <c r="H15" s="17">
        <f>+G15*$W$15</f>
        <v>166600.11200000002</v>
      </c>
      <c r="I15" s="18">
        <v>243965</v>
      </c>
      <c r="J15" s="17">
        <f>+I15*$W$15</f>
        <v>243965</v>
      </c>
      <c r="K15" s="18">
        <v>247996</v>
      </c>
      <c r="L15" s="17">
        <f>+K15*$W$15</f>
        <v>247996</v>
      </c>
      <c r="M15" s="18">
        <v>532000</v>
      </c>
      <c r="N15" s="17">
        <f>+M15*$W$15</f>
        <v>532000</v>
      </c>
      <c r="O15" s="61">
        <v>1915900</v>
      </c>
      <c r="P15" s="17">
        <f>+O15*$W$15</f>
        <v>1915900</v>
      </c>
      <c r="Q15" s="74">
        <v>180000</v>
      </c>
      <c r="R15" s="17">
        <f>+Q15*$W$15</f>
        <v>180000</v>
      </c>
      <c r="S15" s="62">
        <v>1000000</v>
      </c>
      <c r="T15" s="17">
        <f>+S15*$W$15</f>
        <v>1000000</v>
      </c>
      <c r="U15" s="17">
        <v>310590</v>
      </c>
      <c r="V15" s="17">
        <f>+U15*$W$15</f>
        <v>310590</v>
      </c>
      <c r="W15" s="112">
        <v>1</v>
      </c>
      <c r="X15" s="18">
        <f>AVERAGE(I15,K15,M15,Q15,U15)</f>
        <v>302910.2</v>
      </c>
      <c r="Y15" s="18">
        <f t="shared" si="8"/>
        <v>302910.2</v>
      </c>
      <c r="Z15" s="18">
        <f>GEOMEAN(I15,K15,Q15,U15,M15)</f>
        <v>282506.70612841402</v>
      </c>
      <c r="AA15" s="18">
        <f t="shared" si="9"/>
        <v>282506.70612841402</v>
      </c>
      <c r="AB15" s="18"/>
      <c r="AC15" s="55">
        <f t="shared" si="0"/>
        <v>243965</v>
      </c>
      <c r="AD15" s="18">
        <f t="shared" si="1"/>
        <v>247996</v>
      </c>
      <c r="AE15" s="18">
        <f t="shared" si="2"/>
        <v>532000</v>
      </c>
      <c r="AF15" s="71">
        <f t="shared" si="3"/>
        <v>1915900</v>
      </c>
      <c r="AG15" s="18">
        <f t="shared" si="4"/>
        <v>180000</v>
      </c>
      <c r="AH15" s="18">
        <f t="shared" si="5"/>
        <v>1000000</v>
      </c>
      <c r="AI15" s="56">
        <f t="shared" si="6"/>
        <v>310590</v>
      </c>
      <c r="AJ15" s="51">
        <f t="shared" si="10"/>
        <v>243965</v>
      </c>
      <c r="AK15" s="18">
        <f t="shared" si="11"/>
        <v>1000000</v>
      </c>
      <c r="AL15" s="18">
        <f t="shared" si="12"/>
        <v>756035</v>
      </c>
      <c r="AM15" s="18">
        <f t="shared" si="13"/>
        <v>-890087.5</v>
      </c>
      <c r="AN15" s="18">
        <f t="shared" si="14"/>
        <v>1756035</v>
      </c>
      <c r="AO15" s="18"/>
      <c r="AP15" s="18">
        <f t="shared" si="16"/>
        <v>632921.57142857148</v>
      </c>
      <c r="AQ15" s="18">
        <f t="shared" si="17"/>
        <v>585473.66492972581</v>
      </c>
      <c r="AR15" s="44">
        <f t="shared" si="18"/>
        <v>0.92503351340711826</v>
      </c>
      <c r="AS15" s="18"/>
      <c r="AT15" s="18">
        <f t="shared" si="19"/>
        <v>444853.14327739744</v>
      </c>
      <c r="AU15" s="18">
        <f t="shared" si="20"/>
        <v>614938.32698368886</v>
      </c>
      <c r="AV15" s="44">
        <f t="shared" si="21"/>
        <v>1.382340073969605</v>
      </c>
      <c r="AW15" s="81">
        <f t="shared" si="15"/>
        <v>162346.43714898342</v>
      </c>
    </row>
    <row r="16" spans="1:49" s="3" customFormat="1" ht="39" customHeight="1" x14ac:dyDescent="0.15">
      <c r="A16" s="144"/>
      <c r="B16" s="145"/>
      <c r="C16" s="147"/>
      <c r="D16" s="10" t="s">
        <v>33</v>
      </c>
      <c r="E16" s="11" t="s">
        <v>32</v>
      </c>
      <c r="F16" s="17">
        <f>+(720000*1.19)</f>
        <v>856800</v>
      </c>
      <c r="G16" s="17">
        <f t="shared" si="7"/>
        <v>959616.00000000012</v>
      </c>
      <c r="H16" s="17">
        <f>+G16*$W$16</f>
        <v>959616.00000000012</v>
      </c>
      <c r="I16" s="18">
        <v>1500000</v>
      </c>
      <c r="J16" s="17">
        <f>+I16*$W$16</f>
        <v>1500000</v>
      </c>
      <c r="K16" s="18">
        <v>3213000</v>
      </c>
      <c r="L16" s="17">
        <f>+K16*$W$16</f>
        <v>3213000</v>
      </c>
      <c r="M16" s="18">
        <v>1120000</v>
      </c>
      <c r="N16" s="17">
        <f>+M16*$W$16</f>
        <v>1120000</v>
      </c>
      <c r="O16" s="74">
        <v>3546200</v>
      </c>
      <c r="P16" s="17">
        <f>+O16*$W$16</f>
        <v>3546200</v>
      </c>
      <c r="Q16" s="74">
        <v>2000000</v>
      </c>
      <c r="R16" s="17">
        <f>+Q16*$W$16</f>
        <v>2000000</v>
      </c>
      <c r="S16" s="18">
        <v>1700000</v>
      </c>
      <c r="T16" s="17">
        <f>+S16*$W$16</f>
        <v>1700000</v>
      </c>
      <c r="U16" s="17">
        <v>1380400</v>
      </c>
      <c r="V16" s="17">
        <f>+U16*$W$16</f>
        <v>1380400</v>
      </c>
      <c r="W16" s="112">
        <v>1</v>
      </c>
      <c r="X16" s="18">
        <f>AVERAGE(I16,K16,M16,O16,Q16,S16,U16)</f>
        <v>2065657.142857143</v>
      </c>
      <c r="Y16" s="18">
        <f t="shared" si="8"/>
        <v>2065657.142857143</v>
      </c>
      <c r="Z16" s="18">
        <f t="shared" ref="Z16:Z27" si="22">GEOMEAN(I16,K16,O16,Q16,S16,U16,M16)</f>
        <v>1901370.3999017561</v>
      </c>
      <c r="AA16" s="18">
        <f t="shared" si="9"/>
        <v>1901370.3999017561</v>
      </c>
      <c r="AB16" s="18"/>
      <c r="AC16" s="55">
        <f t="shared" si="0"/>
        <v>1500000</v>
      </c>
      <c r="AD16" s="18">
        <f t="shared" si="1"/>
        <v>3213000</v>
      </c>
      <c r="AE16" s="18">
        <f t="shared" si="2"/>
        <v>1120000</v>
      </c>
      <c r="AF16" s="18">
        <f t="shared" si="3"/>
        <v>3546200</v>
      </c>
      <c r="AG16" s="18">
        <f t="shared" si="4"/>
        <v>2000000</v>
      </c>
      <c r="AH16" s="18">
        <f t="shared" si="5"/>
        <v>1700000</v>
      </c>
      <c r="AI16" s="56">
        <f t="shared" si="6"/>
        <v>1380400</v>
      </c>
      <c r="AJ16" s="51">
        <f t="shared" si="10"/>
        <v>1380400</v>
      </c>
      <c r="AK16" s="18">
        <f t="shared" si="11"/>
        <v>3213000</v>
      </c>
      <c r="AL16" s="18">
        <f t="shared" si="12"/>
        <v>1832600</v>
      </c>
      <c r="AM16" s="18">
        <f t="shared" si="13"/>
        <v>-1368500</v>
      </c>
      <c r="AN16" s="18">
        <f t="shared" si="14"/>
        <v>5045600</v>
      </c>
      <c r="AO16" s="18"/>
      <c r="AP16" s="18">
        <f t="shared" si="16"/>
        <v>2065657.142857143</v>
      </c>
      <c r="AQ16" s="18">
        <f t="shared" si="17"/>
        <v>872617.70201936143</v>
      </c>
      <c r="AR16" s="44">
        <f t="shared" si="18"/>
        <v>0.42244072547895722</v>
      </c>
      <c r="AS16" s="18"/>
      <c r="AT16" s="18">
        <f t="shared" si="19"/>
        <v>1901370.3999017561</v>
      </c>
      <c r="AU16" s="18">
        <f t="shared" si="20"/>
        <v>887948.07719170186</v>
      </c>
      <c r="AV16" s="44">
        <f t="shared" si="21"/>
        <v>0.46700426031539261</v>
      </c>
      <c r="AW16" s="81">
        <f t="shared" si="15"/>
        <v>0</v>
      </c>
    </row>
    <row r="17" spans="1:49" s="3" customFormat="1" ht="39" customHeight="1" x14ac:dyDescent="0.15">
      <c r="A17" s="144"/>
      <c r="B17" s="145"/>
      <c r="C17" s="147"/>
      <c r="D17" s="10" t="s">
        <v>34</v>
      </c>
      <c r="E17" s="11" t="s">
        <v>32</v>
      </c>
      <c r="F17" s="17">
        <f>+(1560000*1.19)</f>
        <v>1856400</v>
      </c>
      <c r="G17" s="17">
        <f t="shared" si="7"/>
        <v>2079168.0000000002</v>
      </c>
      <c r="H17" s="17">
        <f>+G17*$W$17</f>
        <v>2079168.0000000002</v>
      </c>
      <c r="I17" s="18">
        <v>1471991</v>
      </c>
      <c r="J17" s="17">
        <f>+I17*$W$17</f>
        <v>1471991</v>
      </c>
      <c r="K17" s="72">
        <v>3332000</v>
      </c>
      <c r="L17" s="17">
        <f>+K17*$W$17</f>
        <v>3332000</v>
      </c>
      <c r="M17" s="18">
        <v>1160000</v>
      </c>
      <c r="N17" s="17">
        <f>+M17*$W$17</f>
        <v>1160000</v>
      </c>
      <c r="O17" s="74">
        <v>1570800</v>
      </c>
      <c r="P17" s="17">
        <f>+O17*$W$17</f>
        <v>1570800</v>
      </c>
      <c r="Q17" s="74">
        <v>2000000</v>
      </c>
      <c r="R17" s="17">
        <f>+Q17*$W$17</f>
        <v>2000000</v>
      </c>
      <c r="S17" s="18">
        <v>1200000</v>
      </c>
      <c r="T17" s="17">
        <f>+S17*$W$17</f>
        <v>1200000</v>
      </c>
      <c r="U17" s="17">
        <v>1380400</v>
      </c>
      <c r="V17" s="17">
        <f>+U17*$W$17</f>
        <v>1380400</v>
      </c>
      <c r="W17" s="112">
        <v>1</v>
      </c>
      <c r="X17" s="18">
        <f>AVERAGE(I17,M17,O17,Q17,S17,U17)</f>
        <v>1463865.1666666667</v>
      </c>
      <c r="Y17" s="18">
        <f t="shared" si="8"/>
        <v>1463865.1666666667</v>
      </c>
      <c r="Z17" s="18">
        <f t="shared" si="22"/>
        <v>1622559.9273850899</v>
      </c>
      <c r="AA17" s="18">
        <f t="shared" si="9"/>
        <v>1622559.9273850899</v>
      </c>
      <c r="AB17" s="18"/>
      <c r="AC17" s="55">
        <f t="shared" si="0"/>
        <v>1471991</v>
      </c>
      <c r="AD17" s="71">
        <f t="shared" si="1"/>
        <v>3332000</v>
      </c>
      <c r="AE17" s="18">
        <f t="shared" si="2"/>
        <v>1160000</v>
      </c>
      <c r="AF17" s="18">
        <f t="shared" si="3"/>
        <v>1570800</v>
      </c>
      <c r="AG17" s="18">
        <f t="shared" si="4"/>
        <v>2000000</v>
      </c>
      <c r="AH17" s="18">
        <f t="shared" si="5"/>
        <v>1200000</v>
      </c>
      <c r="AI17" s="56">
        <f t="shared" si="6"/>
        <v>1380400</v>
      </c>
      <c r="AJ17" s="51">
        <f t="shared" si="10"/>
        <v>1200000</v>
      </c>
      <c r="AK17" s="18">
        <f t="shared" si="11"/>
        <v>2000000</v>
      </c>
      <c r="AL17" s="18">
        <f t="shared" si="12"/>
        <v>800000</v>
      </c>
      <c r="AM17" s="18">
        <f t="shared" si="13"/>
        <v>0</v>
      </c>
      <c r="AN17" s="49">
        <f t="shared" si="14"/>
        <v>2800000</v>
      </c>
      <c r="AO17" s="18"/>
      <c r="AP17" s="18">
        <f t="shared" si="16"/>
        <v>1730741.5714285714</v>
      </c>
      <c r="AQ17" s="18">
        <f t="shared" si="17"/>
        <v>702976.69079257059</v>
      </c>
      <c r="AR17" s="44">
        <f t="shared" si="18"/>
        <v>0.40617080123194049</v>
      </c>
      <c r="AS17" s="18"/>
      <c r="AT17" s="18">
        <f t="shared" si="19"/>
        <v>1622559.9273850899</v>
      </c>
      <c r="AU17" s="18">
        <f t="shared" si="20"/>
        <v>711252.06214507669</v>
      </c>
      <c r="AV17" s="44">
        <f t="shared" si="21"/>
        <v>0.4383517983778431</v>
      </c>
      <c r="AW17" s="81">
        <f t="shared" si="15"/>
        <v>0</v>
      </c>
    </row>
    <row r="18" spans="1:49" s="3" customFormat="1" ht="39" customHeight="1" x14ac:dyDescent="0.15">
      <c r="A18" s="144"/>
      <c r="B18" s="145"/>
      <c r="C18" s="147"/>
      <c r="D18" s="10" t="s">
        <v>35</v>
      </c>
      <c r="E18" s="11" t="s">
        <v>29</v>
      </c>
      <c r="F18" s="17">
        <f>+(1044000*1.19)</f>
        <v>1242360</v>
      </c>
      <c r="G18" s="17">
        <f t="shared" si="7"/>
        <v>1391443.2000000002</v>
      </c>
      <c r="H18" s="17">
        <f>+G18*$W$18</f>
        <v>4174329.6000000006</v>
      </c>
      <c r="I18" s="18">
        <v>2210342</v>
      </c>
      <c r="J18" s="17">
        <f>+I18*$W$18</f>
        <v>6631026</v>
      </c>
      <c r="K18" s="18">
        <v>1428000</v>
      </c>
      <c r="L18" s="17">
        <f>+K18*$W$18</f>
        <v>4284000</v>
      </c>
      <c r="M18" s="18">
        <v>1190000</v>
      </c>
      <c r="N18" s="17">
        <f>+M18*$W$18</f>
        <v>3570000</v>
      </c>
      <c r="O18" s="74">
        <v>773500</v>
      </c>
      <c r="P18" s="17">
        <f>+O18*$W$18</f>
        <v>2320500</v>
      </c>
      <c r="Q18" s="74">
        <v>1200000</v>
      </c>
      <c r="R18" s="17">
        <f>+Q18*$W$18</f>
        <v>3600000</v>
      </c>
      <c r="S18" s="18">
        <v>1600000</v>
      </c>
      <c r="T18" s="17">
        <f>+S18*$W$18</f>
        <v>4800000</v>
      </c>
      <c r="U18" s="17">
        <v>776475</v>
      </c>
      <c r="V18" s="17">
        <f>+U18*$W$18</f>
        <v>2329425</v>
      </c>
      <c r="W18" s="112">
        <v>3</v>
      </c>
      <c r="X18" s="18">
        <f>AVERAGE(I18,K18,M18,O18,Q18,S18,U18)</f>
        <v>1311188.142857143</v>
      </c>
      <c r="Y18" s="18">
        <f t="shared" si="8"/>
        <v>3933564.4285714291</v>
      </c>
      <c r="Z18" s="18">
        <f t="shared" si="22"/>
        <v>1232952.1959071904</v>
      </c>
      <c r="AA18" s="18">
        <f t="shared" si="9"/>
        <v>3698856.5877215713</v>
      </c>
      <c r="AB18" s="18"/>
      <c r="AC18" s="55">
        <f t="shared" si="0"/>
        <v>2210342</v>
      </c>
      <c r="AD18" s="18">
        <f t="shared" si="1"/>
        <v>1428000</v>
      </c>
      <c r="AE18" s="18">
        <f t="shared" si="2"/>
        <v>1190000</v>
      </c>
      <c r="AF18" s="18">
        <f t="shared" si="3"/>
        <v>773500</v>
      </c>
      <c r="AG18" s="18">
        <f t="shared" si="4"/>
        <v>1200000</v>
      </c>
      <c r="AH18" s="18">
        <f t="shared" si="5"/>
        <v>1600000</v>
      </c>
      <c r="AI18" s="56">
        <f t="shared" si="6"/>
        <v>776475</v>
      </c>
      <c r="AJ18" s="51">
        <f t="shared" si="10"/>
        <v>776475</v>
      </c>
      <c r="AK18" s="18">
        <f t="shared" si="11"/>
        <v>1600000</v>
      </c>
      <c r="AL18" s="18">
        <f t="shared" si="12"/>
        <v>823525</v>
      </c>
      <c r="AM18" s="18">
        <f t="shared" si="13"/>
        <v>-458812.5</v>
      </c>
      <c r="AN18" s="18">
        <f t="shared" si="14"/>
        <v>2423525</v>
      </c>
      <c r="AO18" s="18"/>
      <c r="AP18" s="18">
        <f t="shared" si="16"/>
        <v>1311188.142857143</v>
      </c>
      <c r="AQ18" s="18">
        <f t="shared" si="17"/>
        <v>464082.96838340344</v>
      </c>
      <c r="AR18" s="44">
        <f t="shared" si="18"/>
        <v>0.35394079096241976</v>
      </c>
      <c r="AS18" s="18"/>
      <c r="AT18" s="18">
        <f t="shared" si="19"/>
        <v>1232952.1959071904</v>
      </c>
      <c r="AU18" s="18">
        <f t="shared" si="20"/>
        <v>470631.34716963634</v>
      </c>
      <c r="AV18" s="44">
        <f t="shared" si="21"/>
        <v>0.38171094445665171</v>
      </c>
      <c r="AW18" s="81">
        <f t="shared" si="15"/>
        <v>0</v>
      </c>
    </row>
    <row r="19" spans="1:49" s="3" customFormat="1" ht="39" customHeight="1" x14ac:dyDescent="0.15">
      <c r="A19" s="144"/>
      <c r="B19" s="145"/>
      <c r="C19" s="147"/>
      <c r="D19" s="10" t="s">
        <v>36</v>
      </c>
      <c r="E19" s="11" t="s">
        <v>29</v>
      </c>
      <c r="F19" s="17">
        <f>+(95000*1.19)</f>
        <v>113050</v>
      </c>
      <c r="G19" s="17">
        <f t="shared" si="7"/>
        <v>126616.00000000001</v>
      </c>
      <c r="H19" s="17">
        <f>+G19*$W$19</f>
        <v>379848.00000000006</v>
      </c>
      <c r="I19" s="18">
        <v>276882</v>
      </c>
      <c r="J19" s="17">
        <f>+I19*$W$19</f>
        <v>830646</v>
      </c>
      <c r="K19" s="18">
        <v>372470</v>
      </c>
      <c r="L19" s="17">
        <f>+K19*$W$19</f>
        <v>1117410</v>
      </c>
      <c r="M19" s="18">
        <v>140000</v>
      </c>
      <c r="N19" s="17">
        <f>+M19*$W$19</f>
        <v>420000</v>
      </c>
      <c r="O19" s="74">
        <v>321300</v>
      </c>
      <c r="P19" s="17">
        <f>+O19*$W$19</f>
        <v>963900</v>
      </c>
      <c r="Q19" s="74">
        <v>200000</v>
      </c>
      <c r="R19" s="17">
        <f>+Q19*$W$19</f>
        <v>600000</v>
      </c>
      <c r="S19" s="71">
        <v>900000</v>
      </c>
      <c r="T19" s="17">
        <f>+S19*$W$19</f>
        <v>2700000</v>
      </c>
      <c r="U19" s="17">
        <v>224315</v>
      </c>
      <c r="V19" s="17">
        <f>+U19*$W$19</f>
        <v>672945</v>
      </c>
      <c r="W19" s="112">
        <v>3</v>
      </c>
      <c r="X19" s="18">
        <f>AVERAGE(I19,K19,M19,O19,Q19,U19)</f>
        <v>255827.83333333334</v>
      </c>
      <c r="Y19" s="18">
        <f t="shared" si="8"/>
        <v>767483.5</v>
      </c>
      <c r="Z19" s="18">
        <f>GEOMEAN(I19,K19,O19,Q19,U19,M19)</f>
        <v>243436.39938952622</v>
      </c>
      <c r="AA19" s="18">
        <f t="shared" si="9"/>
        <v>730309.19816857867</v>
      </c>
      <c r="AB19" s="18"/>
      <c r="AC19" s="55">
        <f t="shared" si="0"/>
        <v>276882</v>
      </c>
      <c r="AD19" s="18">
        <f t="shared" si="1"/>
        <v>372470</v>
      </c>
      <c r="AE19" s="18">
        <f t="shared" si="2"/>
        <v>140000</v>
      </c>
      <c r="AF19" s="18">
        <f t="shared" si="3"/>
        <v>321300</v>
      </c>
      <c r="AG19" s="18">
        <f t="shared" si="4"/>
        <v>200000</v>
      </c>
      <c r="AH19" s="71">
        <f t="shared" si="5"/>
        <v>900000</v>
      </c>
      <c r="AI19" s="56">
        <f t="shared" si="6"/>
        <v>224315</v>
      </c>
      <c r="AJ19" s="51">
        <f t="shared" si="10"/>
        <v>200000</v>
      </c>
      <c r="AK19" s="18">
        <f t="shared" si="11"/>
        <v>372470</v>
      </c>
      <c r="AL19" s="18">
        <f t="shared" si="12"/>
        <v>172470</v>
      </c>
      <c r="AM19" s="18">
        <f t="shared" si="13"/>
        <v>-58705</v>
      </c>
      <c r="AN19" s="18">
        <f t="shared" si="14"/>
        <v>544940</v>
      </c>
      <c r="AO19" s="18"/>
      <c r="AP19" s="18">
        <f t="shared" si="16"/>
        <v>347852.42857142858</v>
      </c>
      <c r="AQ19" s="18">
        <f t="shared" si="17"/>
        <v>236504.08260073722</v>
      </c>
      <c r="AR19" s="44">
        <f t="shared" si="18"/>
        <v>0.67989774736378794</v>
      </c>
      <c r="AS19" s="18"/>
      <c r="AT19" s="18">
        <f t="shared" si="19"/>
        <v>293432.31739906152</v>
      </c>
      <c r="AU19" s="18">
        <f t="shared" si="20"/>
        <v>242684.42386529283</v>
      </c>
      <c r="AV19" s="44">
        <f t="shared" si="21"/>
        <v>0.82705417731901476</v>
      </c>
      <c r="AW19" s="81">
        <f t="shared" si="15"/>
        <v>49995.918009535293</v>
      </c>
    </row>
    <row r="20" spans="1:49" s="3" customFormat="1" ht="39" customHeight="1" x14ac:dyDescent="0.15">
      <c r="A20" s="144"/>
      <c r="B20" s="145"/>
      <c r="C20" s="147"/>
      <c r="D20" s="10" t="s">
        <v>37</v>
      </c>
      <c r="E20" s="11" t="s">
        <v>29</v>
      </c>
      <c r="F20" s="17">
        <f>+(158600*1.19)</f>
        <v>188734</v>
      </c>
      <c r="G20" s="17">
        <f t="shared" si="7"/>
        <v>211382.08000000002</v>
      </c>
      <c r="H20" s="17">
        <f>+G20*$W$20</f>
        <v>634146.24</v>
      </c>
      <c r="I20" s="18">
        <v>310788</v>
      </c>
      <c r="J20" s="17">
        <f>+I20*$W$20</f>
        <v>932364</v>
      </c>
      <c r="K20" s="18">
        <v>499800</v>
      </c>
      <c r="L20" s="17">
        <f>+K20*$W$20</f>
        <v>1499400</v>
      </c>
      <c r="M20" s="18">
        <v>140000</v>
      </c>
      <c r="N20" s="17">
        <f>+M20*$W$20</f>
        <v>420000</v>
      </c>
      <c r="O20" s="74">
        <v>321300</v>
      </c>
      <c r="P20" s="17">
        <f>+O20*$W$20</f>
        <v>963900</v>
      </c>
      <c r="Q20" s="74">
        <v>200000</v>
      </c>
      <c r="R20" s="17">
        <f>+Q20*$W$20</f>
        <v>600000</v>
      </c>
      <c r="S20" s="18">
        <v>700000</v>
      </c>
      <c r="T20" s="17">
        <f>+S20*$W$20</f>
        <v>2100000</v>
      </c>
      <c r="U20" s="17">
        <v>293335</v>
      </c>
      <c r="V20" s="17">
        <f>+U20*$W$20</f>
        <v>880005</v>
      </c>
      <c r="W20" s="112">
        <v>3</v>
      </c>
      <c r="X20" s="18">
        <f>AVERAGE(I20,K20,M20,O20,Q20,S20,U20)</f>
        <v>352174.71428571426</v>
      </c>
      <c r="Y20" s="18">
        <f t="shared" si="8"/>
        <v>1056524.1428571427</v>
      </c>
      <c r="Z20" s="18">
        <f t="shared" si="22"/>
        <v>311867.5352052126</v>
      </c>
      <c r="AA20" s="18">
        <f t="shared" si="9"/>
        <v>935602.60561563773</v>
      </c>
      <c r="AB20" s="18"/>
      <c r="AC20" s="55">
        <f t="shared" si="0"/>
        <v>310788</v>
      </c>
      <c r="AD20" s="18">
        <f t="shared" si="1"/>
        <v>499800</v>
      </c>
      <c r="AE20" s="18">
        <f t="shared" si="2"/>
        <v>140000</v>
      </c>
      <c r="AF20" s="18">
        <f t="shared" si="3"/>
        <v>321300</v>
      </c>
      <c r="AG20" s="18">
        <f t="shared" si="4"/>
        <v>200000</v>
      </c>
      <c r="AH20" s="18">
        <f t="shared" si="5"/>
        <v>700000</v>
      </c>
      <c r="AI20" s="56">
        <f t="shared" si="6"/>
        <v>293335</v>
      </c>
      <c r="AJ20" s="51">
        <f t="shared" si="10"/>
        <v>200000</v>
      </c>
      <c r="AK20" s="18">
        <f t="shared" si="11"/>
        <v>499800</v>
      </c>
      <c r="AL20" s="18">
        <f t="shared" si="12"/>
        <v>299800</v>
      </c>
      <c r="AM20" s="18">
        <f t="shared" si="13"/>
        <v>-249700</v>
      </c>
      <c r="AN20" s="18">
        <f t="shared" si="14"/>
        <v>799600</v>
      </c>
      <c r="AO20" s="18"/>
      <c r="AP20" s="18">
        <f t="shared" si="16"/>
        <v>352174.71428571426</v>
      </c>
      <c r="AQ20" s="18">
        <f t="shared" si="17"/>
        <v>176100.26668813609</v>
      </c>
      <c r="AR20" s="44">
        <f t="shared" si="18"/>
        <v>0.50003665665010943</v>
      </c>
      <c r="AS20" s="18"/>
      <c r="AT20" s="18">
        <f t="shared" si="19"/>
        <v>311867.5352052126</v>
      </c>
      <c r="AU20" s="18">
        <f t="shared" si="20"/>
        <v>180654.29032563904</v>
      </c>
      <c r="AV20" s="44">
        <f t="shared" si="21"/>
        <v>0.57926609836694398</v>
      </c>
      <c r="AW20" s="81">
        <f t="shared" si="15"/>
        <v>0</v>
      </c>
    </row>
    <row r="21" spans="1:49" s="3" customFormat="1" ht="39" customHeight="1" x14ac:dyDescent="0.15">
      <c r="A21" s="144"/>
      <c r="B21" s="145"/>
      <c r="C21" s="147"/>
      <c r="D21" s="10" t="s">
        <v>38</v>
      </c>
      <c r="E21" s="11" t="s">
        <v>32</v>
      </c>
      <c r="F21" s="17">
        <f>+(1176000*1.19)</f>
        <v>1399440</v>
      </c>
      <c r="G21" s="17">
        <f t="shared" si="7"/>
        <v>1567372.8</v>
      </c>
      <c r="H21" s="17">
        <f>+G21*$W$21</f>
        <v>1567372.8</v>
      </c>
      <c r="I21" s="18">
        <v>4250000</v>
      </c>
      <c r="J21" s="17">
        <f>+I21*$W$21</f>
        <v>4250000</v>
      </c>
      <c r="K21" s="18">
        <v>2261000</v>
      </c>
      <c r="L21" s="17">
        <f>+K21*$W$21</f>
        <v>2261000</v>
      </c>
      <c r="M21" s="18">
        <v>1400000</v>
      </c>
      <c r="N21" s="17">
        <f>+M21*$W$21</f>
        <v>1400000</v>
      </c>
      <c r="O21" s="74">
        <v>4165000</v>
      </c>
      <c r="P21" s="17">
        <f>+O21*$W$21</f>
        <v>4165000</v>
      </c>
      <c r="Q21" s="74">
        <v>4000000</v>
      </c>
      <c r="R21" s="17">
        <f>+Q21*$W$21</f>
        <v>4000000</v>
      </c>
      <c r="S21" s="18">
        <v>2000000</v>
      </c>
      <c r="T21" s="17">
        <f>+S21*$W$21</f>
        <v>2000000</v>
      </c>
      <c r="U21" s="17">
        <v>4313750</v>
      </c>
      <c r="V21" s="17">
        <f>+U21*$W$21</f>
        <v>4313750</v>
      </c>
      <c r="W21" s="112">
        <v>1</v>
      </c>
      <c r="X21" s="18">
        <f>AVERAGE(I21,K21,M21,O21,Q21,S21,U21)</f>
        <v>3198535.7142857141</v>
      </c>
      <c r="Y21" s="18">
        <f t="shared" si="8"/>
        <v>3198535.7142857141</v>
      </c>
      <c r="Z21" s="18">
        <f t="shared" si="22"/>
        <v>2947694.6894683335</v>
      </c>
      <c r="AA21" s="18">
        <f t="shared" si="9"/>
        <v>2947694.6894683335</v>
      </c>
      <c r="AB21" s="18"/>
      <c r="AC21" s="55">
        <f t="shared" si="0"/>
        <v>4250000</v>
      </c>
      <c r="AD21" s="18">
        <f t="shared" si="1"/>
        <v>2261000</v>
      </c>
      <c r="AE21" s="18">
        <f t="shared" si="2"/>
        <v>1400000</v>
      </c>
      <c r="AF21" s="18">
        <f t="shared" si="3"/>
        <v>4165000</v>
      </c>
      <c r="AG21" s="18">
        <f t="shared" si="4"/>
        <v>4000000</v>
      </c>
      <c r="AH21" s="18">
        <f t="shared" si="5"/>
        <v>2000000</v>
      </c>
      <c r="AI21" s="56">
        <f t="shared" si="6"/>
        <v>4313750</v>
      </c>
      <c r="AJ21" s="51">
        <f t="shared" si="10"/>
        <v>2000000</v>
      </c>
      <c r="AK21" s="18">
        <f t="shared" si="11"/>
        <v>4250000</v>
      </c>
      <c r="AL21" s="18">
        <f t="shared" si="12"/>
        <v>2250000</v>
      </c>
      <c r="AM21" s="18">
        <f t="shared" si="13"/>
        <v>-1375000</v>
      </c>
      <c r="AN21" s="18">
        <f t="shared" si="14"/>
        <v>6500000</v>
      </c>
      <c r="AO21" s="18"/>
      <c r="AP21" s="18">
        <f t="shared" si="16"/>
        <v>3198535.7142857141</v>
      </c>
      <c r="AQ21" s="18">
        <f t="shared" si="17"/>
        <v>1163484.3024032491</v>
      </c>
      <c r="AR21" s="44">
        <f t="shared" si="18"/>
        <v>0.36375529502664139</v>
      </c>
      <c r="AS21" s="18"/>
      <c r="AT21" s="18">
        <f t="shared" si="19"/>
        <v>2947694.6894683335</v>
      </c>
      <c r="AU21" s="18">
        <f t="shared" si="20"/>
        <v>1190217.1825638416</v>
      </c>
      <c r="AV21" s="44">
        <f t="shared" si="21"/>
        <v>0.40377898932895162</v>
      </c>
      <c r="AW21" s="81">
        <f t="shared" si="15"/>
        <v>0</v>
      </c>
    </row>
    <row r="22" spans="1:49" s="3" customFormat="1" ht="39" customHeight="1" x14ac:dyDescent="0.15">
      <c r="A22" s="144"/>
      <c r="B22" s="145"/>
      <c r="C22" s="147"/>
      <c r="D22" s="10" t="s">
        <v>39</v>
      </c>
      <c r="E22" s="11" t="s">
        <v>29</v>
      </c>
      <c r="F22" s="17">
        <f>+(80400*1.19)</f>
        <v>95676</v>
      </c>
      <c r="G22" s="17">
        <f t="shared" si="7"/>
        <v>107157.12000000001</v>
      </c>
      <c r="H22" s="17">
        <f>+G22*$W$22</f>
        <v>214314.24000000002</v>
      </c>
      <c r="I22" s="18">
        <v>99446</v>
      </c>
      <c r="J22" s="17">
        <f>+I22*$W$22</f>
        <v>198892</v>
      </c>
      <c r="K22" s="71">
        <v>476000</v>
      </c>
      <c r="L22" s="17">
        <f>+K22*$W$22</f>
        <v>952000</v>
      </c>
      <c r="M22" s="18">
        <v>98000</v>
      </c>
      <c r="N22" s="17">
        <f>+M22*$W$22</f>
        <v>196000</v>
      </c>
      <c r="O22" s="74">
        <v>154700</v>
      </c>
      <c r="P22" s="17">
        <f>+O22*$W$22</f>
        <v>309400</v>
      </c>
      <c r="Q22" s="74">
        <v>100000</v>
      </c>
      <c r="R22" s="17">
        <f>+Q22*$W$22</f>
        <v>200000</v>
      </c>
      <c r="S22" s="18">
        <v>200000</v>
      </c>
      <c r="T22" s="17">
        <f>+S22*$W$22</f>
        <v>400000</v>
      </c>
      <c r="U22" s="17">
        <v>163922.5</v>
      </c>
      <c r="V22" s="17">
        <f>+U22*$W$22</f>
        <v>327845</v>
      </c>
      <c r="W22" s="112">
        <v>2</v>
      </c>
      <c r="X22" s="18">
        <f>AVERAGE(I22,M22,O22,Q22,S22,U22)</f>
        <v>136011.41666666666</v>
      </c>
      <c r="Y22" s="18">
        <f t="shared" si="8"/>
        <v>272022.83333333331</v>
      </c>
      <c r="Z22" s="18">
        <f t="shared" si="22"/>
        <v>157014.54658950341</v>
      </c>
      <c r="AA22" s="18">
        <f t="shared" si="9"/>
        <v>314029.09317900683</v>
      </c>
      <c r="AB22" s="18"/>
      <c r="AC22" s="55">
        <f t="shared" si="0"/>
        <v>99446</v>
      </c>
      <c r="AD22" s="71">
        <f t="shared" si="1"/>
        <v>476000</v>
      </c>
      <c r="AE22" s="18">
        <f t="shared" si="2"/>
        <v>98000</v>
      </c>
      <c r="AF22" s="18">
        <f t="shared" si="3"/>
        <v>154700</v>
      </c>
      <c r="AG22" s="18">
        <f t="shared" si="4"/>
        <v>100000</v>
      </c>
      <c r="AH22" s="18">
        <f t="shared" si="5"/>
        <v>200000</v>
      </c>
      <c r="AI22" s="56">
        <f t="shared" si="6"/>
        <v>163922.5</v>
      </c>
      <c r="AJ22" s="51">
        <f t="shared" si="10"/>
        <v>99446</v>
      </c>
      <c r="AK22" s="18">
        <f t="shared" si="11"/>
        <v>200000</v>
      </c>
      <c r="AL22" s="18">
        <f t="shared" si="12"/>
        <v>100554</v>
      </c>
      <c r="AM22" s="18">
        <f t="shared" si="13"/>
        <v>-51385</v>
      </c>
      <c r="AN22" s="18">
        <f t="shared" si="14"/>
        <v>300554</v>
      </c>
      <c r="AO22" s="18"/>
      <c r="AP22" s="18">
        <f t="shared" si="16"/>
        <v>184581.21428571429</v>
      </c>
      <c r="AQ22" s="18">
        <f t="shared" si="17"/>
        <v>124430.4798741212</v>
      </c>
      <c r="AR22" s="44">
        <f t="shared" si="18"/>
        <v>0.67412320563410411</v>
      </c>
      <c r="AS22" s="18"/>
      <c r="AT22" s="18">
        <f t="shared" si="19"/>
        <v>157014.54658950341</v>
      </c>
      <c r="AU22" s="18">
        <f t="shared" si="20"/>
        <v>127447.50091538632</v>
      </c>
      <c r="AV22" s="44">
        <f t="shared" si="21"/>
        <v>0.81169231567176536</v>
      </c>
      <c r="AW22" s="81">
        <f t="shared" si="15"/>
        <v>0</v>
      </c>
    </row>
    <row r="23" spans="1:49" s="3" customFormat="1" ht="66" x14ac:dyDescent="0.15">
      <c r="A23" s="144"/>
      <c r="B23" s="145"/>
      <c r="C23" s="147"/>
      <c r="D23" s="10" t="s">
        <v>40</v>
      </c>
      <c r="E23" s="11" t="s">
        <v>29</v>
      </c>
      <c r="F23" s="17">
        <f>144000*1.19</f>
        <v>171360</v>
      </c>
      <c r="G23" s="17">
        <f t="shared" si="7"/>
        <v>191923.20000000001</v>
      </c>
      <c r="H23" s="17">
        <f>+G23*$W$23</f>
        <v>767692.80000000005</v>
      </c>
      <c r="I23" s="18">
        <v>475000</v>
      </c>
      <c r="J23" s="17">
        <f>+I23*$W$23</f>
        <v>1900000</v>
      </c>
      <c r="K23" s="18">
        <v>833000</v>
      </c>
      <c r="L23" s="17">
        <f>+K23*$W$23</f>
        <v>3332000</v>
      </c>
      <c r="M23" s="18">
        <v>210000</v>
      </c>
      <c r="N23" s="17">
        <f>+M23*$W$23</f>
        <v>840000</v>
      </c>
      <c r="O23" s="74">
        <v>333200</v>
      </c>
      <c r="P23" s="17">
        <f>+O23*$W$23</f>
        <v>1332800</v>
      </c>
      <c r="Q23" s="74">
        <v>500000</v>
      </c>
      <c r="R23" s="17">
        <f>+Q23*$W$23</f>
        <v>2000000</v>
      </c>
      <c r="S23" s="18">
        <v>1400000</v>
      </c>
      <c r="T23" s="17">
        <f>+S23*$W$23</f>
        <v>5600000</v>
      </c>
      <c r="U23" s="17">
        <v>241570</v>
      </c>
      <c r="V23" s="17">
        <f>+U23*$W$23</f>
        <v>966280</v>
      </c>
      <c r="W23" s="112">
        <v>4</v>
      </c>
      <c r="X23" s="18">
        <f>AVERAGE(I23,K23,M23,O23,Q23,S23,U23)</f>
        <v>570395.71428571432</v>
      </c>
      <c r="Y23" s="18">
        <f t="shared" si="8"/>
        <v>2281582.8571428573</v>
      </c>
      <c r="Z23" s="18">
        <f t="shared" si="22"/>
        <v>464729.84364478715</v>
      </c>
      <c r="AA23" s="18">
        <f t="shared" si="9"/>
        <v>1858919.3745791486</v>
      </c>
      <c r="AB23" s="18"/>
      <c r="AC23" s="55">
        <f t="shared" si="0"/>
        <v>475000</v>
      </c>
      <c r="AD23" s="18">
        <f t="shared" si="1"/>
        <v>833000</v>
      </c>
      <c r="AE23" s="18">
        <f t="shared" si="2"/>
        <v>210000</v>
      </c>
      <c r="AF23" s="18">
        <f t="shared" si="3"/>
        <v>333200</v>
      </c>
      <c r="AG23" s="18">
        <f t="shared" si="4"/>
        <v>500000</v>
      </c>
      <c r="AH23" s="18">
        <f t="shared" si="5"/>
        <v>1400000</v>
      </c>
      <c r="AI23" s="56">
        <f t="shared" si="6"/>
        <v>241570</v>
      </c>
      <c r="AJ23" s="51">
        <f t="shared" si="10"/>
        <v>241570</v>
      </c>
      <c r="AK23" s="18">
        <f t="shared" si="11"/>
        <v>833000</v>
      </c>
      <c r="AL23" s="18">
        <f t="shared" si="12"/>
        <v>591430</v>
      </c>
      <c r="AM23" s="18">
        <f t="shared" si="13"/>
        <v>-645575</v>
      </c>
      <c r="AN23" s="18">
        <f t="shared" si="14"/>
        <v>1424430</v>
      </c>
      <c r="AO23" s="18"/>
      <c r="AP23" s="18">
        <f t="shared" si="16"/>
        <v>570395.71428571432</v>
      </c>
      <c r="AQ23" s="18">
        <f t="shared" si="17"/>
        <v>390152.6091107406</v>
      </c>
      <c r="AR23" s="44">
        <f t="shared" si="18"/>
        <v>0.68400340209307919</v>
      </c>
      <c r="AS23" s="18"/>
      <c r="AT23" s="18">
        <f t="shared" si="19"/>
        <v>464729.84364478715</v>
      </c>
      <c r="AU23" s="18">
        <f t="shared" si="20"/>
        <v>404208.2812291499</v>
      </c>
      <c r="AV23" s="44">
        <f t="shared" si="21"/>
        <v>0.86977044137949433</v>
      </c>
      <c r="AW23" s="81">
        <f t="shared" si="15"/>
        <v>0</v>
      </c>
    </row>
    <row r="24" spans="1:49" s="3" customFormat="1" ht="39" customHeight="1" x14ac:dyDescent="0.15">
      <c r="A24" s="144"/>
      <c r="B24" s="145"/>
      <c r="C24" s="147"/>
      <c r="D24" s="10" t="s">
        <v>41</v>
      </c>
      <c r="E24" s="11" t="s">
        <v>42</v>
      </c>
      <c r="F24" s="17">
        <f>245000*1.19</f>
        <v>291550</v>
      </c>
      <c r="G24" s="17">
        <f t="shared" si="7"/>
        <v>326536.00000000006</v>
      </c>
      <c r="H24" s="17">
        <f>+G24*$W$24</f>
        <v>326536.00000000006</v>
      </c>
      <c r="I24" s="18">
        <v>600000</v>
      </c>
      <c r="J24" s="17">
        <f>+I24*$W$24</f>
        <v>600000</v>
      </c>
      <c r="K24" s="18">
        <v>1249500</v>
      </c>
      <c r="L24" s="17">
        <f>+K24*$W$24</f>
        <v>1249500</v>
      </c>
      <c r="M24" s="18">
        <v>770000</v>
      </c>
      <c r="N24" s="17">
        <f>+M24*$W$24</f>
        <v>770000</v>
      </c>
      <c r="O24" s="74">
        <v>2499000</v>
      </c>
      <c r="P24" s="17">
        <f>+O24*$W$24</f>
        <v>2499000</v>
      </c>
      <c r="Q24" s="74">
        <v>2800000</v>
      </c>
      <c r="R24" s="17">
        <f>+Q24*$W$24</f>
        <v>2800000</v>
      </c>
      <c r="S24" s="18">
        <v>600000</v>
      </c>
      <c r="T24" s="17">
        <f>+S24*$W$24</f>
        <v>600000</v>
      </c>
      <c r="U24" s="17">
        <v>3105900</v>
      </c>
      <c r="V24" s="17">
        <f>+U24*$W$24</f>
        <v>3105900</v>
      </c>
      <c r="W24" s="112">
        <v>1</v>
      </c>
      <c r="X24" s="18">
        <f>AVERAGE(I24,K24,M24,O24,Q24,S24,U24)</f>
        <v>1660628.5714285714</v>
      </c>
      <c r="Y24" s="18">
        <f t="shared" si="8"/>
        <v>1660628.5714285714</v>
      </c>
      <c r="Z24" s="18">
        <f t="shared" si="22"/>
        <v>1334241.5567964723</v>
      </c>
      <c r="AA24" s="18">
        <f t="shared" si="9"/>
        <v>1334241.5567964723</v>
      </c>
      <c r="AB24" s="18"/>
      <c r="AC24" s="55">
        <f t="shared" si="0"/>
        <v>600000</v>
      </c>
      <c r="AD24" s="18">
        <f t="shared" si="1"/>
        <v>1249500</v>
      </c>
      <c r="AE24" s="18">
        <f t="shared" si="2"/>
        <v>770000</v>
      </c>
      <c r="AF24" s="18">
        <f t="shared" si="3"/>
        <v>2499000</v>
      </c>
      <c r="AG24" s="18">
        <f t="shared" si="4"/>
        <v>2800000</v>
      </c>
      <c r="AH24" s="18">
        <f t="shared" si="5"/>
        <v>600000</v>
      </c>
      <c r="AI24" s="56">
        <f t="shared" si="6"/>
        <v>3105900</v>
      </c>
      <c r="AJ24" s="51">
        <f t="shared" si="10"/>
        <v>600000</v>
      </c>
      <c r="AK24" s="18">
        <f t="shared" si="11"/>
        <v>2800000</v>
      </c>
      <c r="AL24" s="18">
        <f t="shared" si="12"/>
        <v>2200000</v>
      </c>
      <c r="AM24" s="18">
        <f t="shared" si="13"/>
        <v>-2700000</v>
      </c>
      <c r="AN24" s="18">
        <f t="shared" si="14"/>
        <v>5000000</v>
      </c>
      <c r="AO24" s="18"/>
      <c r="AP24" s="18">
        <f t="shared" si="16"/>
        <v>1660628.5714285714</v>
      </c>
      <c r="AQ24" s="18">
        <f t="shared" si="17"/>
        <v>1021340.5262752697</v>
      </c>
      <c r="AR24" s="44">
        <f t="shared" si="18"/>
        <v>0.61503249061688248</v>
      </c>
      <c r="AS24" s="18"/>
      <c r="AT24" s="18">
        <f t="shared" si="19"/>
        <v>1334241.5567964723</v>
      </c>
      <c r="AU24" s="18">
        <f t="shared" si="20"/>
        <v>1072224.3020621659</v>
      </c>
      <c r="AV24" s="44">
        <f t="shared" si="21"/>
        <v>0.80362082607934016</v>
      </c>
      <c r="AW24" s="81">
        <f t="shared" si="15"/>
        <v>0</v>
      </c>
    </row>
    <row r="25" spans="1:49" s="3" customFormat="1" ht="39" customHeight="1" x14ac:dyDescent="0.15">
      <c r="A25" s="144"/>
      <c r="B25" s="145"/>
      <c r="C25" s="147"/>
      <c r="D25" s="10" t="s">
        <v>43</v>
      </c>
      <c r="E25" s="11" t="s">
        <v>42</v>
      </c>
      <c r="F25" s="17">
        <f>1670000*1.19</f>
        <v>1987300</v>
      </c>
      <c r="G25" s="17">
        <f t="shared" si="7"/>
        <v>2225776</v>
      </c>
      <c r="H25" s="17">
        <f>+G25*$W$25</f>
        <v>2225776</v>
      </c>
      <c r="I25" s="18">
        <v>1344537</v>
      </c>
      <c r="J25" s="17">
        <f>+I25*$W$25</f>
        <v>1344537</v>
      </c>
      <c r="K25" s="62">
        <v>8925000</v>
      </c>
      <c r="L25" s="17">
        <f>+K25*$W$25</f>
        <v>8925000</v>
      </c>
      <c r="M25" s="18">
        <v>840000</v>
      </c>
      <c r="N25" s="17">
        <f>+M25*$W$25</f>
        <v>840000</v>
      </c>
      <c r="O25" s="61">
        <v>5831000</v>
      </c>
      <c r="P25" s="17">
        <f>+O25*$W$25</f>
        <v>5831000</v>
      </c>
      <c r="Q25" s="61">
        <v>6000000</v>
      </c>
      <c r="R25" s="17">
        <f>+Q25*$W$25</f>
        <v>6000000</v>
      </c>
      <c r="S25" s="18">
        <v>1400000</v>
      </c>
      <c r="T25" s="17">
        <f>+S25*$W$25</f>
        <v>1400000</v>
      </c>
      <c r="U25" s="17">
        <v>4831400</v>
      </c>
      <c r="V25" s="17">
        <f>+U25*$W$25</f>
        <v>4831400</v>
      </c>
      <c r="W25" s="112">
        <v>1</v>
      </c>
      <c r="X25" s="18">
        <f>AVERAGE(I25,M25,S25,U25)</f>
        <v>2103984.25</v>
      </c>
      <c r="Y25" s="18">
        <f t="shared" si="8"/>
        <v>2103984.25</v>
      </c>
      <c r="Z25" s="18">
        <f>GEOMEAN(I25,S25,U25,M25)</f>
        <v>1662506.1811424925</v>
      </c>
      <c r="AA25" s="18">
        <f t="shared" si="9"/>
        <v>1662506.1811424925</v>
      </c>
      <c r="AB25" s="18"/>
      <c r="AC25" s="55">
        <f t="shared" si="0"/>
        <v>1344537</v>
      </c>
      <c r="AD25" s="18">
        <f t="shared" si="1"/>
        <v>8925000</v>
      </c>
      <c r="AE25" s="18">
        <f t="shared" si="2"/>
        <v>840000</v>
      </c>
      <c r="AF25" s="18">
        <f t="shared" si="3"/>
        <v>5831000</v>
      </c>
      <c r="AG25" s="18">
        <f t="shared" si="4"/>
        <v>6000000</v>
      </c>
      <c r="AH25" s="18">
        <f t="shared" si="5"/>
        <v>1400000</v>
      </c>
      <c r="AI25" s="56">
        <f t="shared" si="6"/>
        <v>4831400</v>
      </c>
      <c r="AJ25" s="51">
        <f t="shared" si="10"/>
        <v>1344537</v>
      </c>
      <c r="AK25" s="18">
        <f t="shared" si="11"/>
        <v>6000000</v>
      </c>
      <c r="AL25" s="18">
        <f t="shared" si="12"/>
        <v>4655463</v>
      </c>
      <c r="AM25" s="18">
        <f t="shared" si="13"/>
        <v>-5638657.5</v>
      </c>
      <c r="AN25" s="18">
        <f t="shared" si="14"/>
        <v>10655463</v>
      </c>
      <c r="AO25" s="18"/>
      <c r="AP25" s="18">
        <f t="shared" si="16"/>
        <v>4167419.5714285714</v>
      </c>
      <c r="AQ25" s="18">
        <f t="shared" si="17"/>
        <v>2825907.9581130762</v>
      </c>
      <c r="AR25" s="44">
        <f t="shared" si="18"/>
        <v>0.67809538004937875</v>
      </c>
      <c r="AS25" s="18"/>
      <c r="AT25" s="18">
        <f t="shared" si="19"/>
        <v>3037441.6348041669</v>
      </c>
      <c r="AU25" s="18">
        <f t="shared" si="20"/>
        <v>3043452.9608628359</v>
      </c>
      <c r="AV25" s="44">
        <f t="shared" si="21"/>
        <v>1.0019790754132651</v>
      </c>
      <c r="AW25" s="81">
        <f t="shared" si="15"/>
        <v>1374935.4536616744</v>
      </c>
    </row>
    <row r="26" spans="1:49" s="3" customFormat="1" ht="39" customHeight="1" x14ac:dyDescent="0.15">
      <c r="A26" s="144"/>
      <c r="B26" s="145"/>
      <c r="C26" s="147"/>
      <c r="D26" s="10" t="s">
        <v>44</v>
      </c>
      <c r="E26" s="11" t="s">
        <v>45</v>
      </c>
      <c r="F26" s="17">
        <f>50000*1.19</f>
        <v>59500</v>
      </c>
      <c r="G26" s="17">
        <f t="shared" si="7"/>
        <v>66640</v>
      </c>
      <c r="H26" s="17">
        <f>+G26*$W$26</f>
        <v>666400</v>
      </c>
      <c r="I26" s="18">
        <v>300000</v>
      </c>
      <c r="J26" s="17">
        <f>+I26*$W$26</f>
        <v>3000000</v>
      </c>
      <c r="K26" s="62">
        <v>3724700</v>
      </c>
      <c r="L26" s="17">
        <f>+K26*$W$26</f>
        <v>37247000</v>
      </c>
      <c r="M26" s="18">
        <v>70000</v>
      </c>
      <c r="N26" s="17">
        <f>+M26*$W$26</f>
        <v>700000</v>
      </c>
      <c r="O26" s="61">
        <v>3332000</v>
      </c>
      <c r="P26" s="17">
        <f>+O26*$W$26</f>
        <v>33320000</v>
      </c>
      <c r="Q26" s="61">
        <v>2500000</v>
      </c>
      <c r="R26" s="17">
        <f>+Q26*$W$26</f>
        <v>25000000</v>
      </c>
      <c r="S26" s="26">
        <v>900000</v>
      </c>
      <c r="T26" s="17">
        <f>+S26*$W$26</f>
        <v>9000000</v>
      </c>
      <c r="U26" s="62">
        <v>1552950</v>
      </c>
      <c r="V26" s="17">
        <f>+U26*$W$26</f>
        <v>15529500</v>
      </c>
      <c r="W26" s="113">
        <v>10</v>
      </c>
      <c r="X26" s="18">
        <f>AVERAGE(I26,M26,S26)</f>
        <v>423333.33333333331</v>
      </c>
      <c r="Y26" s="18">
        <f t="shared" si="8"/>
        <v>4233333.333333333</v>
      </c>
      <c r="Z26" s="18">
        <f>GEOMEAN(I26,S26,M26)</f>
        <v>266371.20052278019</v>
      </c>
      <c r="AA26" s="18">
        <f t="shared" si="9"/>
        <v>2663712.0052278019</v>
      </c>
      <c r="AB26" s="18"/>
      <c r="AC26" s="55">
        <f t="shared" si="0"/>
        <v>300000</v>
      </c>
      <c r="AD26" s="18">
        <f t="shared" si="1"/>
        <v>3724700</v>
      </c>
      <c r="AE26" s="18">
        <f t="shared" si="2"/>
        <v>70000</v>
      </c>
      <c r="AF26" s="18">
        <f t="shared" si="3"/>
        <v>3332000</v>
      </c>
      <c r="AG26" s="18">
        <f t="shared" si="4"/>
        <v>2500000</v>
      </c>
      <c r="AH26" s="18">
        <f t="shared" si="5"/>
        <v>900000</v>
      </c>
      <c r="AI26" s="56">
        <f t="shared" si="6"/>
        <v>1552950</v>
      </c>
      <c r="AJ26" s="51">
        <f t="shared" si="10"/>
        <v>300000</v>
      </c>
      <c r="AK26" s="18">
        <f t="shared" si="11"/>
        <v>3332000</v>
      </c>
      <c r="AL26" s="18">
        <f t="shared" si="12"/>
        <v>3032000</v>
      </c>
      <c r="AM26" s="18">
        <f t="shared" si="13"/>
        <v>-4248000</v>
      </c>
      <c r="AN26" s="18">
        <f t="shared" si="14"/>
        <v>6364000</v>
      </c>
      <c r="AO26" s="18"/>
      <c r="AP26" s="18">
        <f t="shared" si="16"/>
        <v>1768521.4285714286</v>
      </c>
      <c r="AQ26" s="18">
        <f t="shared" si="17"/>
        <v>1344219.9803649122</v>
      </c>
      <c r="AR26" s="44">
        <f t="shared" si="18"/>
        <v>0.76008125129178816</v>
      </c>
      <c r="AS26" s="18"/>
      <c r="AT26" s="18">
        <f t="shared" si="19"/>
        <v>986719.37033307704</v>
      </c>
      <c r="AU26" s="18">
        <f t="shared" si="20"/>
        <v>1555037.5602788404</v>
      </c>
      <c r="AV26" s="44">
        <f t="shared" si="21"/>
        <v>1.5759673996811492</v>
      </c>
      <c r="AW26" s="81">
        <f t="shared" si="15"/>
        <v>720348.16981029685</v>
      </c>
    </row>
    <row r="27" spans="1:49" s="3" customFormat="1" ht="39" customHeight="1" x14ac:dyDescent="0.15">
      <c r="A27" s="144"/>
      <c r="B27" s="146"/>
      <c r="C27" s="148"/>
      <c r="D27" s="10" t="s">
        <v>46</v>
      </c>
      <c r="E27" s="11" t="s">
        <v>29</v>
      </c>
      <c r="F27" s="18"/>
      <c r="G27" s="18"/>
      <c r="H27" s="17">
        <f>+G27*$W$27</f>
        <v>0</v>
      </c>
      <c r="I27" s="18">
        <v>350000</v>
      </c>
      <c r="J27" s="17">
        <f>+I27*$W$27</f>
        <v>350000</v>
      </c>
      <c r="K27" s="18">
        <v>624750</v>
      </c>
      <c r="L27" s="17">
        <f>+K27*$W$27</f>
        <v>624750</v>
      </c>
      <c r="M27" s="18">
        <v>210000</v>
      </c>
      <c r="N27" s="17">
        <f>+M27*$W$27</f>
        <v>210000</v>
      </c>
      <c r="O27" s="74">
        <v>380800</v>
      </c>
      <c r="P27" s="17">
        <f>+O27*$W$27</f>
        <v>380800</v>
      </c>
      <c r="Q27" s="74">
        <v>200000</v>
      </c>
      <c r="R27" s="17">
        <f>+Q27*$W$27</f>
        <v>200000</v>
      </c>
      <c r="S27" s="18">
        <v>300000</v>
      </c>
      <c r="T27" s="17">
        <f>+S27*$W$27</f>
        <v>300000</v>
      </c>
      <c r="U27" s="17">
        <v>169099</v>
      </c>
      <c r="V27" s="17">
        <f>+U27*$W$27</f>
        <v>169099</v>
      </c>
      <c r="W27" s="112">
        <v>1</v>
      </c>
      <c r="X27" s="18">
        <f>AVERAGE(I27,K27,M27,O27,Q27,S27,U27)</f>
        <v>319235.57142857142</v>
      </c>
      <c r="Y27" s="18">
        <f t="shared" si="8"/>
        <v>319235.57142857142</v>
      </c>
      <c r="Z27" s="18">
        <f t="shared" si="22"/>
        <v>291165.8287285532</v>
      </c>
      <c r="AA27" s="18">
        <f t="shared" si="9"/>
        <v>291165.8287285532</v>
      </c>
      <c r="AB27" s="18"/>
      <c r="AC27" s="55">
        <f t="shared" si="0"/>
        <v>350000</v>
      </c>
      <c r="AD27" s="18">
        <f t="shared" si="1"/>
        <v>624750</v>
      </c>
      <c r="AE27" s="18">
        <f t="shared" si="2"/>
        <v>210000</v>
      </c>
      <c r="AF27" s="18">
        <f t="shared" si="3"/>
        <v>380800</v>
      </c>
      <c r="AG27" s="18">
        <f t="shared" si="4"/>
        <v>200000</v>
      </c>
      <c r="AH27" s="18">
        <f t="shared" si="5"/>
        <v>300000</v>
      </c>
      <c r="AI27" s="56">
        <f t="shared" si="6"/>
        <v>169099</v>
      </c>
      <c r="AJ27" s="51">
        <f t="shared" si="10"/>
        <v>200000</v>
      </c>
      <c r="AK27" s="18">
        <f t="shared" si="11"/>
        <v>380800</v>
      </c>
      <c r="AL27" s="18">
        <f t="shared" si="12"/>
        <v>180800</v>
      </c>
      <c r="AM27" s="18">
        <f t="shared" si="13"/>
        <v>-71200</v>
      </c>
      <c r="AN27" s="18">
        <f t="shared" si="14"/>
        <v>561600</v>
      </c>
      <c r="AO27" s="18"/>
      <c r="AP27" s="18">
        <f t="shared" si="16"/>
        <v>319235.57142857142</v>
      </c>
      <c r="AQ27" s="18">
        <f t="shared" si="17"/>
        <v>144980.89718684333</v>
      </c>
      <c r="AR27" s="44">
        <f t="shared" si="18"/>
        <v>0.45415019553760044</v>
      </c>
      <c r="AS27" s="18"/>
      <c r="AT27" s="18">
        <f t="shared" si="19"/>
        <v>291165.8287285532</v>
      </c>
      <c r="AU27" s="18">
        <f t="shared" si="20"/>
        <v>147673.18986311383</v>
      </c>
      <c r="AV27" s="44">
        <f t="shared" si="21"/>
        <v>0.50717898631156322</v>
      </c>
      <c r="AW27" s="81">
        <f t="shared" si="15"/>
        <v>0</v>
      </c>
    </row>
    <row r="28" spans="1:49" s="3" customFormat="1" ht="39" customHeight="1" x14ac:dyDescent="0.15">
      <c r="A28" s="97"/>
      <c r="B28" s="98"/>
      <c r="C28" s="99"/>
      <c r="D28" s="100"/>
      <c r="E28" s="101"/>
      <c r="F28" s="102"/>
      <c r="G28" s="102"/>
      <c r="H28" s="103">
        <f>SUM(H11:H27)</f>
        <v>31488213.232000001</v>
      </c>
      <c r="I28" s="103">
        <f t="shared" ref="I28:V28" si="23">SUM(I11:I27)</f>
        <v>18476503</v>
      </c>
      <c r="J28" s="103">
        <f t="shared" si="23"/>
        <v>46119157</v>
      </c>
      <c r="K28" s="103">
        <f t="shared" si="23"/>
        <v>33241817</v>
      </c>
      <c r="L28" s="103">
        <f t="shared" si="23"/>
        <v>98361116</v>
      </c>
      <c r="M28" s="103">
        <f t="shared" si="23"/>
        <v>13060000</v>
      </c>
      <c r="N28" s="103">
        <f t="shared" si="23"/>
        <v>43090000</v>
      </c>
      <c r="O28" s="103">
        <f t="shared" si="23"/>
        <v>36616300</v>
      </c>
      <c r="P28" s="103">
        <f t="shared" si="23"/>
        <v>436872800</v>
      </c>
      <c r="Q28" s="103">
        <f t="shared" si="23"/>
        <v>26455000</v>
      </c>
      <c r="R28" s="103">
        <f t="shared" si="23"/>
        <v>71680000</v>
      </c>
      <c r="S28" s="103">
        <f t="shared" si="23"/>
        <v>18450000</v>
      </c>
      <c r="T28" s="103">
        <f>SUM(T11:T27)</f>
        <v>219000000</v>
      </c>
      <c r="U28" s="103">
        <f t="shared" si="23"/>
        <v>22830090.5</v>
      </c>
      <c r="V28" s="103">
        <f t="shared" si="23"/>
        <v>59112179</v>
      </c>
      <c r="W28" s="104"/>
      <c r="X28" s="102">
        <f>SUM(X11:X27)</f>
        <v>18770224.371428572</v>
      </c>
      <c r="Y28" s="102">
        <f>SUM(Y11:Y27)</f>
        <v>47987611.711904779</v>
      </c>
      <c r="Z28" s="102">
        <f>SUM(Z11:Z27)</f>
        <v>16894197.893408515</v>
      </c>
      <c r="AA28" s="102">
        <f>SUM(AA11:AA27)</f>
        <v>42224775.203006811</v>
      </c>
      <c r="AB28" s="35"/>
      <c r="AC28" s="93"/>
      <c r="AD28" s="93"/>
      <c r="AE28" s="93"/>
      <c r="AF28" s="93"/>
      <c r="AG28" s="93"/>
      <c r="AH28" s="93"/>
      <c r="AI28" s="93"/>
      <c r="AJ28" s="93"/>
      <c r="AK28" s="93"/>
      <c r="AL28" s="93"/>
      <c r="AM28" s="93"/>
      <c r="AN28" s="93"/>
      <c r="AO28" s="93"/>
      <c r="AP28" s="93"/>
      <c r="AQ28" s="93"/>
      <c r="AR28" s="94"/>
      <c r="AS28" s="93"/>
      <c r="AT28" s="93"/>
      <c r="AU28" s="93"/>
      <c r="AV28" s="94"/>
      <c r="AW28" s="81"/>
    </row>
    <row r="29" spans="1:49" s="2" customFormat="1" ht="18.75" customHeight="1" x14ac:dyDescent="0.2">
      <c r="A29" s="140" t="s">
        <v>3</v>
      </c>
      <c r="B29" s="140"/>
      <c r="C29" s="140"/>
      <c r="D29" s="140"/>
      <c r="E29" s="140"/>
      <c r="F29" s="140"/>
      <c r="G29" s="140"/>
      <c r="H29" s="140"/>
      <c r="I29" s="140"/>
      <c r="J29" s="90"/>
      <c r="K29" s="15">
        <v>12</v>
      </c>
      <c r="L29" s="15"/>
      <c r="M29" s="88" t="s">
        <v>8</v>
      </c>
      <c r="N29" s="88"/>
      <c r="O29" s="88"/>
      <c r="P29" s="88"/>
      <c r="Q29" s="88"/>
      <c r="R29" s="88"/>
      <c r="S29" s="88"/>
      <c r="T29" s="88"/>
      <c r="U29" s="88"/>
      <c r="V29" s="88"/>
      <c r="W29" s="88"/>
      <c r="X29" s="88"/>
      <c r="Y29" s="95"/>
      <c r="Z29" s="77"/>
      <c r="AA29" s="108"/>
      <c r="AC29" s="39">
        <f>+I29</f>
        <v>0</v>
      </c>
      <c r="AD29" s="39">
        <f>+K29</f>
        <v>12</v>
      </c>
      <c r="AE29" s="40"/>
      <c r="AF29" s="40"/>
      <c r="AG29" s="43"/>
      <c r="AH29" s="39"/>
      <c r="AI29" s="39"/>
      <c r="AJ29" s="39"/>
      <c r="AK29" s="39"/>
      <c r="AL29" s="40"/>
      <c r="AM29" s="40"/>
      <c r="AN29" s="40"/>
      <c r="AO29"/>
      <c r="AP29" s="41"/>
      <c r="AQ29" s="39"/>
      <c r="AR29" s="42"/>
      <c r="AS29"/>
      <c r="AT29" s="60"/>
      <c r="AU29" s="39"/>
      <c r="AV29" s="42"/>
    </row>
    <row r="30" spans="1:49" x14ac:dyDescent="0.2">
      <c r="A30" s="7"/>
      <c r="B30" s="7"/>
      <c r="C30" s="13"/>
      <c r="D30" s="7"/>
      <c r="E30" s="7"/>
      <c r="F30" s="67"/>
      <c r="G30" s="67"/>
      <c r="H30" s="67"/>
      <c r="I30" s="21"/>
      <c r="J30" s="21"/>
      <c r="K30" s="23"/>
      <c r="L30" s="23"/>
      <c r="M30" s="30"/>
      <c r="N30" s="30"/>
      <c r="O30" s="27"/>
      <c r="P30" s="27"/>
      <c r="Q30" s="27"/>
      <c r="R30" s="27"/>
      <c r="S30" s="27"/>
      <c r="T30" s="27"/>
      <c r="U30" s="27"/>
      <c r="V30" s="27"/>
      <c r="W30" s="7"/>
      <c r="X30" s="7"/>
      <c r="Y30" s="7"/>
      <c r="Z30" s="7"/>
      <c r="AA30" s="7"/>
      <c r="AC30" s="39"/>
      <c r="AD30" s="39"/>
      <c r="AE30" s="40"/>
      <c r="AF30" s="40"/>
      <c r="AG30" s="43"/>
      <c r="AH30" s="39"/>
      <c r="AI30" s="39"/>
      <c r="AJ30" s="39"/>
      <c r="AK30" s="39"/>
      <c r="AL30" s="40"/>
      <c r="AM30" s="40"/>
      <c r="AN30" s="40"/>
      <c r="AO30"/>
      <c r="AP30" s="41"/>
      <c r="AQ30" s="39"/>
      <c r="AR30" s="42"/>
      <c r="AS30"/>
      <c r="AT30" s="60"/>
      <c r="AU30" s="39"/>
      <c r="AV30" s="42"/>
    </row>
    <row r="31" spans="1:49" ht="19.5" customHeight="1" x14ac:dyDescent="0.25">
      <c r="H31" s="5"/>
      <c r="I31" s="5"/>
      <c r="J31" s="5"/>
      <c r="K31" s="5"/>
      <c r="L31" s="5"/>
      <c r="O31" s="69"/>
      <c r="P31" s="69"/>
      <c r="Q31" s="5"/>
      <c r="R31" s="69"/>
      <c r="S31" s="69"/>
      <c r="T31" s="5"/>
      <c r="U31" s="69"/>
      <c r="V31" s="69"/>
      <c r="W31" s="5"/>
      <c r="X31" s="69"/>
      <c r="Y31" s="96"/>
      <c r="AC31" s="39"/>
      <c r="AD31" s="39"/>
      <c r="AE31" s="40"/>
      <c r="AF31" s="40"/>
      <c r="AG31" s="43"/>
      <c r="AH31" s="39"/>
      <c r="AI31" s="39"/>
      <c r="AJ31" s="39"/>
      <c r="AK31" s="39"/>
      <c r="AL31" s="40"/>
      <c r="AM31" s="40"/>
      <c r="AN31" s="40"/>
      <c r="AO31"/>
      <c r="AP31" s="41"/>
      <c r="AQ31" s="39"/>
      <c r="AR31" s="42"/>
      <c r="AS31"/>
      <c r="AT31" s="60"/>
      <c r="AU31" s="39"/>
      <c r="AV31" s="42"/>
    </row>
    <row r="32" spans="1:49" ht="15.75" x14ac:dyDescent="0.25">
      <c r="A32" s="5"/>
      <c r="B32" s="5"/>
      <c r="C32" s="15"/>
      <c r="D32" s="5"/>
      <c r="E32" s="5"/>
      <c r="F32" s="69"/>
      <c r="G32" s="69"/>
      <c r="H32" s="5"/>
      <c r="I32" s="5"/>
      <c r="J32" s="5"/>
      <c r="K32" s="5"/>
      <c r="L32" s="5"/>
      <c r="M32" s="32"/>
      <c r="N32" s="32"/>
      <c r="O32" s="137">
        <f>+H28-Y28</f>
        <v>-16499398.479904778</v>
      </c>
      <c r="P32" s="137"/>
      <c r="Q32" s="139" t="s">
        <v>80</v>
      </c>
      <c r="R32" s="139"/>
      <c r="S32" s="139"/>
      <c r="T32" s="5"/>
      <c r="U32" s="69"/>
      <c r="V32" s="69"/>
      <c r="W32" s="5"/>
      <c r="X32" s="69"/>
      <c r="Y32" s="80"/>
      <c r="AC32" s="39"/>
      <c r="AD32" s="39"/>
      <c r="AE32" s="40"/>
      <c r="AF32" s="40"/>
      <c r="AG32" s="43"/>
      <c r="AH32" s="39"/>
      <c r="AI32" s="39"/>
      <c r="AJ32" s="39"/>
      <c r="AK32" s="39"/>
      <c r="AL32" s="40"/>
      <c r="AM32" s="40"/>
      <c r="AN32" s="40"/>
      <c r="AO32"/>
      <c r="AP32" s="41"/>
      <c r="AQ32" s="39"/>
      <c r="AR32" s="42"/>
      <c r="AS32"/>
      <c r="AT32" s="60"/>
      <c r="AU32" s="39"/>
      <c r="AV32" s="42"/>
    </row>
    <row r="33" spans="1:48" ht="21" customHeight="1" x14ac:dyDescent="0.25">
      <c r="A33" s="135" t="s">
        <v>5</v>
      </c>
      <c r="B33" s="135"/>
      <c r="C33" s="135"/>
      <c r="D33" s="135"/>
      <c r="E33" s="135"/>
      <c r="F33" s="70"/>
      <c r="G33" s="70"/>
      <c r="H33" s="5"/>
      <c r="I33" s="5"/>
      <c r="J33" s="5"/>
      <c r="K33" s="5"/>
      <c r="L33" s="5"/>
      <c r="M33" s="33"/>
      <c r="N33" s="33"/>
      <c r="O33" s="29"/>
      <c r="P33" s="29"/>
      <c r="Q33" s="136"/>
      <c r="R33" s="136"/>
      <c r="S33" s="136"/>
      <c r="T33" s="136"/>
      <c r="U33" s="136"/>
      <c r="V33" s="136"/>
      <c r="W33" s="136"/>
      <c r="X33" s="136"/>
      <c r="Y33" s="78"/>
      <c r="AC33" s="39"/>
      <c r="AD33" s="39"/>
      <c r="AE33" s="40"/>
      <c r="AF33" s="40"/>
      <c r="AG33" s="43"/>
      <c r="AH33" s="39"/>
      <c r="AI33" s="39"/>
      <c r="AJ33" s="39"/>
      <c r="AK33" s="39"/>
      <c r="AL33" s="40"/>
      <c r="AM33" s="40"/>
      <c r="AN33" s="40"/>
      <c r="AO33"/>
      <c r="AP33" s="41"/>
      <c r="AQ33" s="39"/>
      <c r="AR33" s="42"/>
      <c r="AS33"/>
      <c r="AT33" s="60"/>
      <c r="AU33" s="39"/>
      <c r="AV33" s="42"/>
    </row>
    <row r="34" spans="1:48" ht="21" customHeight="1" x14ac:dyDescent="0.25">
      <c r="A34" s="6"/>
      <c r="B34" s="6"/>
      <c r="C34" s="16"/>
      <c r="D34" s="6"/>
      <c r="E34" s="6"/>
      <c r="F34" s="70"/>
      <c r="G34" s="70"/>
      <c r="H34" s="70"/>
      <c r="I34" s="19"/>
      <c r="J34" s="19"/>
      <c r="K34" s="25"/>
      <c r="L34" s="25"/>
      <c r="M34" s="34"/>
      <c r="N34" s="34"/>
      <c r="O34" s="138">
        <f>23000000-Y28</f>
        <v>-24987611.711904779</v>
      </c>
      <c r="P34" s="138"/>
      <c r="Q34" s="114" t="s">
        <v>79</v>
      </c>
      <c r="R34" s="114"/>
      <c r="S34" s="114"/>
      <c r="T34" s="114"/>
      <c r="U34" s="114"/>
      <c r="V34" s="114"/>
      <c r="W34" s="114"/>
      <c r="X34" s="114"/>
      <c r="Y34" s="78"/>
      <c r="AC34" s="39"/>
      <c r="AD34" s="39"/>
      <c r="AE34" s="40"/>
      <c r="AF34" s="40"/>
      <c r="AG34" s="43"/>
      <c r="AH34" s="39"/>
      <c r="AI34" s="39"/>
      <c r="AJ34" s="39"/>
      <c r="AK34" s="39"/>
      <c r="AL34" s="40"/>
      <c r="AM34" s="40"/>
      <c r="AN34" s="40"/>
      <c r="AO34"/>
      <c r="AP34" s="41"/>
      <c r="AQ34" s="39"/>
      <c r="AR34" s="42"/>
      <c r="AS34"/>
      <c r="AT34" s="60"/>
      <c r="AU34" s="39"/>
      <c r="AV34" s="42"/>
    </row>
    <row r="35" spans="1:48" ht="13.5" x14ac:dyDescent="0.2">
      <c r="A35" s="127" t="s">
        <v>19</v>
      </c>
      <c r="B35" s="127"/>
      <c r="C35" s="127"/>
      <c r="D35" s="127"/>
      <c r="E35" s="127"/>
      <c r="F35" s="127"/>
      <c r="G35" s="127"/>
      <c r="H35" s="127"/>
      <c r="I35" s="127"/>
      <c r="J35" s="79"/>
      <c r="AC35" s="39">
        <f>+I35</f>
        <v>0</v>
      </c>
      <c r="AD35" s="39"/>
      <c r="AE35" s="40"/>
      <c r="AF35" s="40"/>
      <c r="AG35" s="43"/>
      <c r="AH35" s="39"/>
      <c r="AI35" s="39"/>
      <c r="AJ35" s="39"/>
      <c r="AK35" s="39"/>
      <c r="AL35" s="40"/>
      <c r="AM35" s="40"/>
      <c r="AN35" s="40"/>
      <c r="AO35"/>
      <c r="AP35" s="41"/>
      <c r="AQ35" s="39"/>
      <c r="AR35" s="42"/>
      <c r="AS35"/>
      <c r="AT35" s="60"/>
      <c r="AU35" s="39"/>
      <c r="AV35" s="42"/>
    </row>
    <row r="36" spans="1:48" ht="13.5" x14ac:dyDescent="0.2">
      <c r="A36" s="127" t="s">
        <v>20</v>
      </c>
      <c r="B36" s="127"/>
      <c r="C36" s="127"/>
      <c r="D36" s="127"/>
      <c r="E36" s="127"/>
      <c r="F36" s="127"/>
      <c r="G36" s="127"/>
      <c r="H36" s="127"/>
      <c r="I36" s="127"/>
      <c r="J36" s="79"/>
      <c r="AC36" s="39">
        <f>+I36</f>
        <v>0</v>
      </c>
      <c r="AD36" s="39"/>
      <c r="AE36" s="40"/>
      <c r="AF36" s="40"/>
      <c r="AG36" s="43"/>
      <c r="AH36" s="39"/>
      <c r="AI36" s="39"/>
      <c r="AJ36" s="39"/>
      <c r="AK36" s="39"/>
      <c r="AL36" s="40"/>
      <c r="AM36" s="40"/>
      <c r="AN36" s="40"/>
      <c r="AO36"/>
      <c r="AP36" s="41"/>
      <c r="AQ36" s="39"/>
      <c r="AR36" s="42"/>
      <c r="AS36"/>
      <c r="AT36" s="60"/>
      <c r="AU36" s="39"/>
      <c r="AV36" s="42"/>
    </row>
    <row r="37" spans="1:48" ht="13.5" x14ac:dyDescent="0.2">
      <c r="A37" s="127" t="s">
        <v>21</v>
      </c>
      <c r="B37" s="127"/>
      <c r="C37" s="127"/>
      <c r="D37" s="127"/>
      <c r="E37" s="127"/>
      <c r="F37" s="127"/>
      <c r="G37" s="127"/>
      <c r="H37" s="127"/>
      <c r="I37" s="127"/>
      <c r="J37" s="79"/>
      <c r="AC37" s="39">
        <f>+I37</f>
        <v>0</v>
      </c>
      <c r="AD37" s="39"/>
      <c r="AE37" s="40"/>
      <c r="AF37" s="40"/>
      <c r="AG37" s="43"/>
      <c r="AH37" s="39"/>
      <c r="AI37" s="39"/>
      <c r="AJ37" s="39"/>
      <c r="AK37" s="39"/>
      <c r="AL37" s="40"/>
      <c r="AM37" s="40"/>
      <c r="AN37" s="40"/>
      <c r="AO37"/>
      <c r="AP37" s="41"/>
      <c r="AQ37" s="39"/>
      <c r="AR37" s="42"/>
      <c r="AS37"/>
      <c r="AT37" s="60"/>
      <c r="AU37" s="39"/>
      <c r="AV37" s="42"/>
    </row>
    <row r="38" spans="1:48" ht="91.5" customHeight="1" x14ac:dyDescent="0.2">
      <c r="A38" s="128" t="s">
        <v>10</v>
      </c>
      <c r="B38" s="128"/>
      <c r="C38" s="128"/>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09"/>
      <c r="AR38" s="45"/>
    </row>
    <row r="39" spans="1:48" x14ac:dyDescent="0.2">
      <c r="W39" s="4"/>
      <c r="AR39" s="45"/>
    </row>
    <row r="40" spans="1:48" x14ac:dyDescent="0.2">
      <c r="W40" s="4"/>
      <c r="AR40" s="45"/>
    </row>
    <row r="41" spans="1:48" x14ac:dyDescent="0.2">
      <c r="W41" s="4"/>
      <c r="AR41" s="45"/>
    </row>
    <row r="42" spans="1:48" x14ac:dyDescent="0.2">
      <c r="W42" s="4"/>
      <c r="AR42" s="45"/>
    </row>
  </sheetData>
  <mergeCells count="45">
    <mergeCell ref="A1:B3"/>
    <mergeCell ref="C1:S2"/>
    <mergeCell ref="U1:W1"/>
    <mergeCell ref="X1:Z3"/>
    <mergeCell ref="U2:W2"/>
    <mergeCell ref="C3:E3"/>
    <mergeCell ref="I3:S3"/>
    <mergeCell ref="U3:W3"/>
    <mergeCell ref="A5:Z5"/>
    <mergeCell ref="A6:S6"/>
    <mergeCell ref="U6:W6"/>
    <mergeCell ref="X6:Z7"/>
    <mergeCell ref="A7:S7"/>
    <mergeCell ref="U7:W7"/>
    <mergeCell ref="AP9:AR9"/>
    <mergeCell ref="AT9:AV9"/>
    <mergeCell ref="B10:D10"/>
    <mergeCell ref="A11:A27"/>
    <mergeCell ref="B11:B27"/>
    <mergeCell ref="C11:C27"/>
    <mergeCell ref="S9:T9"/>
    <mergeCell ref="U9:V9"/>
    <mergeCell ref="Y8:Y10"/>
    <mergeCell ref="A8:E9"/>
    <mergeCell ref="I8:W8"/>
    <mergeCell ref="X8:X10"/>
    <mergeCell ref="Z8:Z10"/>
    <mergeCell ref="W9:W10"/>
    <mergeCell ref="AC9:AN9"/>
    <mergeCell ref="A35:I35"/>
    <mergeCell ref="A36:I36"/>
    <mergeCell ref="A37:I37"/>
    <mergeCell ref="A38:Z38"/>
    <mergeCell ref="F8:G8"/>
    <mergeCell ref="M9:N9"/>
    <mergeCell ref="K9:L9"/>
    <mergeCell ref="I9:J9"/>
    <mergeCell ref="O9:P9"/>
    <mergeCell ref="Q9:R9"/>
    <mergeCell ref="A33:E33"/>
    <mergeCell ref="Q33:X33"/>
    <mergeCell ref="O32:P32"/>
    <mergeCell ref="O34:P34"/>
    <mergeCell ref="Q32:S32"/>
    <mergeCell ref="A29:I29"/>
  </mergeCells>
  <conditionalFormatting sqref="AR29:AR37 AV29:AV37">
    <cfRule type="cellIs" dxfId="0" priority="2" operator="greaterThan">
      <formula>0.8</formula>
    </cfRule>
  </conditionalFormatting>
  <printOptions horizontalCentered="1"/>
  <pageMargins left="0.19685039370078741" right="0.19685039370078741" top="0.38" bottom="0.36" header="0" footer="0"/>
  <pageSetup scale="4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B3689-087F-4C48-9578-F1DD19380EA5}">
  <sheetPr>
    <tabColor theme="5" tint="0.39997558519241921"/>
  </sheetPr>
  <dimension ref="A1:AF32"/>
  <sheetViews>
    <sheetView showGridLines="0" tabSelected="1" view="pageBreakPreview" topLeftCell="A16" zoomScaleNormal="100" zoomScaleSheetLayoutView="100" workbookViewId="0">
      <selection activeCell="C26" sqref="C26"/>
    </sheetView>
  </sheetViews>
  <sheetFormatPr baseColWidth="10" defaultRowHeight="13.5" x14ac:dyDescent="0.25"/>
  <cols>
    <col min="1" max="1" width="10.5703125" style="116" customWidth="1"/>
    <col min="2" max="2" width="32" style="122" customWidth="1"/>
    <col min="3" max="3" width="47.5703125" style="116" customWidth="1"/>
    <col min="4" max="4" width="31.42578125" style="123" customWidth="1"/>
    <col min="5" max="5" width="21.7109375" style="124" customWidth="1"/>
    <col min="6" max="6" width="26.85546875" style="116" customWidth="1"/>
    <col min="7" max="16384" width="11.42578125" style="116"/>
  </cols>
  <sheetData>
    <row r="1" spans="1:6" ht="23.25" customHeight="1" x14ac:dyDescent="0.25">
      <c r="A1" s="207" t="s">
        <v>107</v>
      </c>
      <c r="B1" s="208"/>
      <c r="C1" s="208"/>
      <c r="D1" s="208"/>
      <c r="E1" s="208"/>
      <c r="F1" s="209"/>
    </row>
    <row r="2" spans="1:6" ht="9" customHeight="1" x14ac:dyDescent="0.25">
      <c r="A2" s="204"/>
      <c r="B2" s="205"/>
      <c r="C2" s="205"/>
      <c r="D2" s="205"/>
      <c r="E2" s="205"/>
      <c r="F2" s="206"/>
    </row>
    <row r="3" spans="1:6" s="117" customFormat="1" ht="132" customHeight="1" x14ac:dyDescent="0.2">
      <c r="A3" s="222" t="s">
        <v>108</v>
      </c>
      <c r="B3" s="189"/>
      <c r="C3" s="189"/>
      <c r="D3" s="189"/>
      <c r="E3" s="189"/>
      <c r="F3" s="189"/>
    </row>
    <row r="4" spans="1:6" s="117" customFormat="1" ht="9" customHeight="1" x14ac:dyDescent="0.2">
      <c r="A4" s="201"/>
      <c r="B4" s="202"/>
      <c r="C4" s="202"/>
      <c r="D4" s="202"/>
      <c r="E4" s="202"/>
      <c r="F4" s="203"/>
    </row>
    <row r="5" spans="1:6" s="119" customFormat="1" ht="15" customHeight="1" x14ac:dyDescent="0.15">
      <c r="A5" s="193" t="s">
        <v>7</v>
      </c>
      <c r="B5" s="193"/>
      <c r="C5" s="193"/>
      <c r="D5" s="198" t="s">
        <v>50</v>
      </c>
      <c r="E5" s="198" t="s">
        <v>72</v>
      </c>
      <c r="F5" s="185" t="s">
        <v>106</v>
      </c>
    </row>
    <row r="6" spans="1:6" s="119" customFormat="1" ht="20.25" customHeight="1" x14ac:dyDescent="0.15">
      <c r="A6" s="193"/>
      <c r="B6" s="193"/>
      <c r="C6" s="193"/>
      <c r="D6" s="199"/>
      <c r="E6" s="199"/>
      <c r="F6" s="185"/>
    </row>
    <row r="7" spans="1:6" s="119" customFormat="1" ht="39" customHeight="1" x14ac:dyDescent="0.15">
      <c r="A7" s="126" t="s">
        <v>15</v>
      </c>
      <c r="B7" s="190" t="s">
        <v>16</v>
      </c>
      <c r="C7" s="191"/>
      <c r="D7" s="200"/>
      <c r="E7" s="200"/>
      <c r="F7" s="185"/>
    </row>
    <row r="8" spans="1:6" s="119" customFormat="1" ht="60" customHeight="1" x14ac:dyDescent="0.15">
      <c r="A8" s="192">
        <v>1</v>
      </c>
      <c r="B8" s="194" t="s">
        <v>105</v>
      </c>
      <c r="C8" s="194"/>
      <c r="D8" s="186"/>
      <c r="E8" s="195">
        <v>1</v>
      </c>
      <c r="F8" s="186">
        <v>61004925</v>
      </c>
    </row>
    <row r="9" spans="1:6" s="119" customFormat="1" ht="27.75" customHeight="1" x14ac:dyDescent="0.15">
      <c r="A9" s="192"/>
      <c r="B9" s="115" t="s">
        <v>81</v>
      </c>
      <c r="C9" s="115" t="s">
        <v>82</v>
      </c>
      <c r="D9" s="187"/>
      <c r="E9" s="196"/>
      <c r="F9" s="187"/>
    </row>
    <row r="10" spans="1:6" s="119" customFormat="1" ht="27.75" customHeight="1" x14ac:dyDescent="0.15">
      <c r="A10" s="192"/>
      <c r="B10" s="115" t="s">
        <v>83</v>
      </c>
      <c r="C10" s="115" t="s">
        <v>84</v>
      </c>
      <c r="D10" s="187"/>
      <c r="E10" s="196"/>
      <c r="F10" s="187"/>
    </row>
    <row r="11" spans="1:6" s="119" customFormat="1" ht="27.75" customHeight="1" x14ac:dyDescent="0.15">
      <c r="A11" s="192"/>
      <c r="B11" s="115" t="s">
        <v>85</v>
      </c>
      <c r="C11" s="115" t="s">
        <v>86</v>
      </c>
      <c r="D11" s="187"/>
      <c r="E11" s="196"/>
      <c r="F11" s="187"/>
    </row>
    <row r="12" spans="1:6" s="119" customFormat="1" ht="36.75" customHeight="1" x14ac:dyDescent="0.15">
      <c r="A12" s="192"/>
      <c r="B12" s="115" t="s">
        <v>87</v>
      </c>
      <c r="C12" s="115" t="s">
        <v>88</v>
      </c>
      <c r="D12" s="187"/>
      <c r="E12" s="196"/>
      <c r="F12" s="187"/>
    </row>
    <row r="13" spans="1:6" s="119" customFormat="1" ht="27" customHeight="1" x14ac:dyDescent="0.15">
      <c r="A13" s="192"/>
      <c r="B13" s="115" t="s">
        <v>89</v>
      </c>
      <c r="C13" s="115" t="s">
        <v>90</v>
      </c>
      <c r="D13" s="187"/>
      <c r="E13" s="196"/>
      <c r="F13" s="187"/>
    </row>
    <row r="14" spans="1:6" s="119" customFormat="1" ht="36.75" customHeight="1" x14ac:dyDescent="0.15">
      <c r="A14" s="192"/>
      <c r="B14" s="115" t="s">
        <v>91</v>
      </c>
      <c r="C14" s="115" t="s">
        <v>92</v>
      </c>
      <c r="D14" s="187"/>
      <c r="E14" s="196"/>
      <c r="F14" s="187"/>
    </row>
    <row r="15" spans="1:6" s="119" customFormat="1" ht="36.75" customHeight="1" x14ac:dyDescent="0.15">
      <c r="A15" s="192"/>
      <c r="B15" s="115" t="s">
        <v>93</v>
      </c>
      <c r="C15" s="115" t="s">
        <v>94</v>
      </c>
      <c r="D15" s="187"/>
      <c r="E15" s="196"/>
      <c r="F15" s="187"/>
    </row>
    <row r="16" spans="1:6" s="119" customFormat="1" ht="36.75" customHeight="1" x14ac:dyDescent="0.15">
      <c r="A16" s="192"/>
      <c r="B16" s="115" t="s">
        <v>95</v>
      </c>
      <c r="C16" s="115" t="s">
        <v>96</v>
      </c>
      <c r="D16" s="187"/>
      <c r="E16" s="196"/>
      <c r="F16" s="187"/>
    </row>
    <row r="17" spans="1:6" s="119" customFormat="1" ht="36.75" customHeight="1" x14ac:dyDescent="0.15">
      <c r="A17" s="192"/>
      <c r="B17" s="115" t="s">
        <v>97</v>
      </c>
      <c r="C17" s="115" t="s">
        <v>98</v>
      </c>
      <c r="D17" s="187"/>
      <c r="E17" s="196"/>
      <c r="F17" s="187"/>
    </row>
    <row r="18" spans="1:6" s="119" customFormat="1" ht="36.75" customHeight="1" x14ac:dyDescent="0.15">
      <c r="A18" s="192"/>
      <c r="B18" s="115" t="s">
        <v>99</v>
      </c>
      <c r="C18" s="115" t="s">
        <v>100</v>
      </c>
      <c r="D18" s="187"/>
      <c r="E18" s="196"/>
      <c r="F18" s="187"/>
    </row>
    <row r="19" spans="1:6" s="119" customFormat="1" ht="36.75" customHeight="1" x14ac:dyDescent="0.15">
      <c r="A19" s="192"/>
      <c r="B19" s="115" t="s">
        <v>101</v>
      </c>
      <c r="C19" s="115" t="s">
        <v>102</v>
      </c>
      <c r="D19" s="188"/>
      <c r="E19" s="197"/>
      <c r="F19" s="188"/>
    </row>
    <row r="20" spans="1:6" s="117" customFormat="1" ht="18.75" customHeight="1" x14ac:dyDescent="0.2">
      <c r="A20" s="217" t="s">
        <v>103</v>
      </c>
      <c r="B20" s="217"/>
      <c r="C20" s="217"/>
      <c r="D20" s="218">
        <f t="shared" ref="D20" si="0">SUM(D8)</f>
        <v>0</v>
      </c>
      <c r="E20" s="219" t="s">
        <v>104</v>
      </c>
      <c r="F20" s="218">
        <f>SUM(F8)</f>
        <v>61004925</v>
      </c>
    </row>
    <row r="21" spans="1:6" s="117" customFormat="1" ht="13.5" customHeight="1" x14ac:dyDescent="0.2">
      <c r="A21" s="210"/>
      <c r="B21" s="211"/>
      <c r="C21" s="211"/>
      <c r="D21" s="211"/>
      <c r="E21" s="211"/>
      <c r="F21" s="212"/>
    </row>
    <row r="22" spans="1:6" s="117" customFormat="1" ht="18.75" customHeight="1" x14ac:dyDescent="0.2">
      <c r="A22" s="213" t="s">
        <v>3</v>
      </c>
      <c r="B22" s="214"/>
      <c r="C22" s="221">
        <v>24</v>
      </c>
      <c r="D22" s="215" t="s">
        <v>8</v>
      </c>
      <c r="E22" s="216"/>
      <c r="F22" s="220">
        <f>F20</f>
        <v>61004925</v>
      </c>
    </row>
    <row r="23" spans="1:6" s="118" customFormat="1" ht="18.75" customHeight="1" x14ac:dyDescent="0.2">
      <c r="A23" s="120"/>
      <c r="B23" s="120"/>
      <c r="C23" s="120"/>
      <c r="D23" s="125"/>
      <c r="E23" s="125"/>
      <c r="F23" s="121"/>
    </row>
    <row r="32" spans="1:6" ht="14.25" x14ac:dyDescent="0.25">
      <c r="B32" s="223" t="s">
        <v>109</v>
      </c>
      <c r="C32" s="223"/>
    </row>
  </sheetData>
  <mergeCells count="19">
    <mergeCell ref="B32:C32"/>
    <mergeCell ref="A4:F4"/>
    <mergeCell ref="A2:F2"/>
    <mergeCell ref="A1:F1"/>
    <mergeCell ref="A22:B22"/>
    <mergeCell ref="A21:F21"/>
    <mergeCell ref="D22:E22"/>
    <mergeCell ref="B8:C8"/>
    <mergeCell ref="E8:E19"/>
    <mergeCell ref="A20:C20"/>
    <mergeCell ref="B7:C7"/>
    <mergeCell ref="A8:A19"/>
    <mergeCell ref="A5:C6"/>
    <mergeCell ref="D8:D19"/>
    <mergeCell ref="D5:D7"/>
    <mergeCell ref="A3:F3"/>
    <mergeCell ref="E5:E7"/>
    <mergeCell ref="F5:F7"/>
    <mergeCell ref="F8:F19"/>
  </mergeCells>
  <phoneticPr fontId="3" type="noConversion"/>
  <printOptions horizontalCentered="1"/>
  <pageMargins left="0.19685039370078741" right="0.19685039370078741" top="0.38" bottom="0.36" header="0" footer="0"/>
  <pageSetup scale="4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ASAMBLEA</vt:lpstr>
      <vt:lpstr>PROPUESTA ECONÓMICA</vt:lpstr>
      <vt:lpstr>ASAMBLEA!Área_de_impresión</vt:lpstr>
      <vt:lpstr>'PROPUESTA ECONÓMICA'!Área_de_impresión</vt:lpstr>
    </vt:vector>
  </TitlesOfParts>
  <Company>Terminal de Transporte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Terminal de Transporte S.A.</dc:creator>
  <cp:lastModifiedBy>Jamile Ospino Prato</cp:lastModifiedBy>
  <cp:lastPrinted>2024-02-07T21:15:12Z</cp:lastPrinted>
  <dcterms:created xsi:type="dcterms:W3CDTF">2005-09-12T20:11:04Z</dcterms:created>
  <dcterms:modified xsi:type="dcterms:W3CDTF">2026-06-12T17:41:07Z</dcterms:modified>
</cp:coreProperties>
</file>